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B626C144-0BE0-1D4F-A8A4-CAC7AD3A93BA}" xr6:coauthVersionLast="47" xr6:coauthVersionMax="47" xr10:uidLastSave="{00000000-0000-0000-0000-000000000000}"/>
  <bookViews>
    <workbookView xWindow="0" yWindow="760" windowWidth="30240" windowHeight="17700" firstSheet="6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32</definedName>
    <definedName name="SelRowNum">44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30" i="27" l="1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EN85" i="19" a="1"/>
  <c r="EN85" i="19" s="1"/>
  <c r="DV85" i="19" a="1"/>
  <c r="DV85" i="19" s="1"/>
  <c r="EK112" i="19"/>
  <c r="ED103" i="19"/>
  <c r="EH103" i="19"/>
  <c r="EG103" i="19"/>
  <c r="DZ85" i="19" a="1"/>
  <c r="DZ85" i="19" s="1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F490" i="15" a="1"/>
  <c r="F490" i="15" s="1"/>
  <c r="G490" i="15" s="1"/>
  <c r="F491" i="15" a="1"/>
  <c r="F491" i="15" s="1"/>
  <c r="G491" i="15" s="1"/>
  <c r="H491" i="15" a="1"/>
  <c r="H491" i="15" s="1"/>
  <c r="I491" i="15" a="1"/>
  <c r="I491" i="15" s="1"/>
  <c r="F492" i="15" a="1"/>
  <c r="F492" i="15" s="1"/>
  <c r="G492" i="15" s="1"/>
  <c r="H492" i="15" a="1"/>
  <c r="H492" i="15" s="1"/>
  <c r="I492" i="15" a="1"/>
  <c r="I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I489" i="15" l="1" a="1"/>
  <c r="I489" i="15" s="1"/>
  <c r="I490" i="15" a="1"/>
  <c r="I490" i="15" s="1"/>
  <c r="H490" i="15" a="1"/>
  <c r="H490" i="15" s="1"/>
  <c r="H489" i="15" a="1"/>
  <c r="H489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V1691" i="13"/>
  <c r="U1691" i="13"/>
  <c r="I1691" i="13"/>
  <c r="T1691" i="13"/>
  <c r="H1691" i="13"/>
  <c r="S1691" i="13"/>
  <c r="AA1691" i="13"/>
  <c r="O1691" i="13"/>
  <c r="Z1691" i="13"/>
  <c r="R1691" i="13"/>
  <c r="F1691" i="13"/>
  <c r="Q1691" i="13"/>
  <c r="P1691" i="13"/>
  <c r="Y1691" i="13"/>
  <c r="AE1691" i="13"/>
  <c r="AQ1691" i="13"/>
  <c r="AH1691" i="13"/>
  <c r="AL1691" i="13"/>
  <c r="AF1691" i="13"/>
  <c r="AI1691" i="13"/>
  <c r="AJ1691" i="13"/>
  <c r="AS1691" i="13"/>
  <c r="AK1691" i="13"/>
  <c r="AM1691" i="13"/>
  <c r="AB1691" i="13"/>
  <c r="AN1691" i="13"/>
  <c r="AC1691" i="13"/>
  <c r="AO1691" i="13"/>
  <c r="AD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31" i="27"/>
  <c r="E31" i="27"/>
  <c r="F31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AG1691" i="13" l="1"/>
  <c r="G1691" i="13"/>
  <c r="W1691" i="13"/>
  <c r="K1691" i="13"/>
  <c r="AP1691" i="13"/>
  <c r="AR1691" i="13"/>
  <c r="N1691" i="13"/>
  <c r="L1691" i="13"/>
  <c r="X1691" i="13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31" i="27" s="1"/>
  <c r="G21" i="27"/>
  <c r="G31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K4" i="70" a="1"/>
  <c r="AP3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A95" i="4" a="1"/>
  <c r="BY95" i="4" a="1"/>
  <c r="CC95" i="4" a="1"/>
  <c r="BZ95" i="4" a="1"/>
  <c r="CB95" i="4" a="1"/>
  <c r="CD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AJ95" i="4" a="1"/>
  <c r="AB95" i="4" a="1"/>
  <c r="CG95" i="4" a="1"/>
  <c r="CM95" i="4"/>
  <c r="CI95" i="4" a="1"/>
  <c r="CH95" i="4" a="1"/>
  <c r="CJ95" i="4" a="1"/>
  <c r="CP95" i="4"/>
  <c r="CE95" i="4" a="1"/>
  <c r="BK95" i="4" a="1"/>
  <c r="CF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CK95" i="4" a="1"/>
  <c r="CL95" i="4" a="1"/>
  <c r="CO95" i="4" a="1"/>
  <c r="AG95" i="4" a="1"/>
  <c r="CN95" i="4" a="1"/>
  <c r="AD95" i="4" a="1"/>
  <c r="AF95" i="4" a="1"/>
  <c r="AK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Y95" i="4" a="1"/>
  <c r="X95" i="4" a="1"/>
  <c r="AC95" i="4" a="1"/>
  <c r="AL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60" i="1" a="1"/>
  <c r="B55" i="1" a="1"/>
  <c r="B24" i="1" a="1"/>
  <c r="B45" i="1" a="1"/>
  <c r="B34" i="1" a="1"/>
  <c r="B87" i="1" a="1"/>
  <c r="B26" i="1" a="1"/>
  <c r="B4" i="1" a="1"/>
  <c r="B18" i="1" a="1"/>
  <c r="B17" i="1" a="1"/>
  <c r="B89" i="1" a="1"/>
  <c r="B30" i="1" a="1"/>
  <c r="B14" i="1" a="1"/>
  <c r="B84" i="1" a="1"/>
  <c r="B82" i="1" a="1"/>
  <c r="B90" i="1" a="1"/>
  <c r="B36" i="1" a="1"/>
  <c r="B68" i="1" a="1"/>
  <c r="B85" i="1" a="1"/>
  <c r="B9" i="1" a="1"/>
  <c r="B20" i="1" a="1"/>
  <c r="B72" i="1" a="1"/>
  <c r="B6" i="1" a="1"/>
  <c r="B92" i="1" a="1"/>
  <c r="B79" i="1" a="1"/>
  <c r="B93" i="1" a="1"/>
  <c r="B91" i="1" a="1"/>
  <c r="B44" i="1" a="1"/>
  <c r="B7" i="1" a="1"/>
  <c r="B62" i="1" a="1"/>
  <c r="B67" i="1" a="1"/>
  <c r="B51" i="1" a="1"/>
  <c r="B58" i="1" a="1"/>
  <c r="B25" i="1" a="1"/>
  <c r="B69" i="1" a="1"/>
  <c r="B39" i="1" a="1"/>
  <c r="B57" i="1" a="1"/>
  <c r="B31" i="1" a="1"/>
  <c r="B12" i="1" a="1"/>
  <c r="B95" i="1" a="1"/>
  <c r="B83" i="1" a="1"/>
  <c r="B54" i="1" a="1"/>
  <c r="B28" i="1" a="1"/>
  <c r="B53" i="1" a="1"/>
  <c r="B77" i="1" a="1"/>
  <c r="B19" i="1" a="1"/>
  <c r="B66" i="1" a="1"/>
  <c r="B94" i="1" a="1"/>
  <c r="B32" i="1" a="1"/>
  <c r="B35" i="1" a="1"/>
  <c r="B46" i="1" a="1"/>
  <c r="B59" i="1" a="1"/>
  <c r="B15" i="1" a="1"/>
  <c r="B22" i="1" a="1"/>
  <c r="B74" i="1" a="1"/>
  <c r="B43" i="1" a="1"/>
  <c r="B16" i="1" a="1"/>
  <c r="B42" i="1" a="1"/>
  <c r="B56" i="1" a="1"/>
  <c r="B47" i="1" a="1"/>
  <c r="B50" i="1" a="1"/>
  <c r="B81" i="1" a="1"/>
  <c r="B52" i="1" a="1"/>
  <c r="B48" i="1" a="1"/>
  <c r="B40" i="1" a="1"/>
  <c r="B33" i="1" a="1"/>
  <c r="B78" i="1" a="1"/>
  <c r="B61" i="1" a="1"/>
  <c r="B80" i="1" a="1"/>
  <c r="B70" i="1" a="1"/>
  <c r="B13" i="1" a="1"/>
  <c r="B75" i="1" a="1"/>
  <c r="B65" i="1" a="1"/>
  <c r="B23" i="1" a="1"/>
  <c r="B27" i="1" a="1"/>
  <c r="B21" i="1" a="1"/>
  <c r="B86" i="1" a="1"/>
  <c r="B5" i="1" a="1"/>
  <c r="B41" i="1" a="1"/>
  <c r="B63" i="1" a="1"/>
  <c r="B38" i="1" a="1"/>
  <c r="B71" i="1" a="1"/>
  <c r="B49" i="1" a="1"/>
  <c r="B8" i="1" a="1"/>
  <c r="B64" i="1" a="1"/>
  <c r="B29" i="1" a="1"/>
  <c r="B76" i="1" a="1"/>
  <c r="B11" i="1" a="1"/>
  <c r="B73" i="1" a="1"/>
  <c r="B10" i="1" a="1"/>
  <c r="B37" i="1" a="1"/>
  <c r="B88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F487" i="15" l="1" a="1"/>
  <c r="F487" i="15" s="1"/>
  <c r="H487" i="15" s="1" a="1"/>
  <c r="H487" i="15" s="1"/>
  <c r="G487" i="15" l="1"/>
  <c r="I487" i="15" a="1"/>
  <c r="I487" i="15" s="1"/>
  <c r="I12" i="7" l="1" a="1"/>
  <c r="I12" i="7" s="1"/>
  <c r="A6" i="13" l="1"/>
  <c r="H4" i="4"/>
  <c r="Z500" i="13"/>
  <c r="CD4" i="4" a="1"/>
  <c r="CF4" i="4" a="1"/>
  <c r="CC4" i="4" a="1"/>
  <c r="CP4" i="4"/>
  <c r="CE4" i="4" a="1"/>
  <c r="AJ4" i="4" a="1"/>
  <c r="AB4" i="4" a="1"/>
  <c r="AH4" i="4" a="1"/>
  <c r="CM4" i="4"/>
  <c r="BK4" i="4" a="1"/>
  <c r="CG4" i="4" a="1"/>
  <c r="CI4" i="4" a="1"/>
  <c r="CJ4" i="4" a="1"/>
  <c r="BZ4" i="4" a="1"/>
  <c r="CA4" i="4" a="1"/>
  <c r="CB4" i="4" a="1"/>
  <c r="CH4" i="4" a="1"/>
  <c r="BM4" i="4" a="1"/>
  <c r="Z4" i="4" a="1"/>
  <c r="BY4" i="4" a="1"/>
  <c r="CN4" i="4" a="1"/>
  <c r="CO4" i="4" a="1"/>
  <c r="CL4" i="4" a="1"/>
  <c r="CK4" i="4" a="1"/>
  <c r="CK4" i="4" l="1"/>
  <c r="CL4" i="4"/>
  <c r="CO4" i="4"/>
  <c r="CN4" i="4"/>
  <c r="BY4" i="4"/>
  <c r="Z4" i="4"/>
  <c r="BM4" i="4"/>
  <c r="CH4" i="4"/>
  <c r="CB4" i="4"/>
  <c r="CA4" i="4"/>
  <c r="BZ4" i="4"/>
  <c r="CJ4" i="4"/>
  <c r="CI4" i="4"/>
  <c r="CG4" i="4"/>
  <c r="BK4" i="4"/>
  <c r="AH4" i="4"/>
  <c r="AB4" i="4"/>
  <c r="AJ4" i="4"/>
  <c r="CE4" i="4"/>
  <c r="CC4" i="4"/>
  <c r="CF4" i="4"/>
  <c r="CD4" i="4"/>
  <c r="Z739" i="13"/>
  <c r="M44" i="4"/>
  <c r="H58" i="4"/>
  <c r="A60" i="13"/>
  <c r="H94" i="4"/>
  <c r="A96" i="13"/>
  <c r="BR4" i="4" a="1"/>
  <c r="BR4" i="4" s="1"/>
  <c r="D4" i="4"/>
  <c r="C4" i="4"/>
  <c r="BS4" i="4" a="1"/>
  <c r="BS4" i="4" s="1"/>
  <c r="A4" i="20"/>
  <c r="AZ4" i="4" a="1"/>
  <c r="AZ4" i="4" s="1"/>
  <c r="A105" i="13"/>
  <c r="AX6" i="13"/>
  <c r="CE58" i="4" a="1"/>
  <c r="CH58" i="4" a="1"/>
  <c r="CP58" i="4"/>
  <c r="CF58" i="4" a="1"/>
  <c r="BY58" i="4" a="1"/>
  <c r="CM58" i="4"/>
  <c r="AH58" i="4" a="1"/>
  <c r="BM58" i="4" a="1"/>
  <c r="BZ58" i="4" a="1"/>
  <c r="CC58" i="4" a="1"/>
  <c r="AB58" i="4" a="1"/>
  <c r="CB58" i="4" a="1"/>
  <c r="CA58" i="4" a="1"/>
  <c r="CI58" i="4" a="1"/>
  <c r="CG58" i="4" a="1"/>
  <c r="CD58" i="4" a="1"/>
  <c r="AJ58" i="4" a="1"/>
  <c r="BK58" i="4" a="1"/>
  <c r="CJ58" i="4" a="1"/>
  <c r="Z58" i="4" a="1"/>
  <c r="AK4" i="4" a="1"/>
  <c r="AL4" i="4" a="1"/>
  <c r="AF4" i="4" a="1"/>
  <c r="AG4" i="4" a="1"/>
  <c r="CH94" i="4" a="1"/>
  <c r="CG94" i="4" a="1"/>
  <c r="CE94" i="4" a="1"/>
  <c r="AB94" i="4" a="1"/>
  <c r="CB94" i="4" a="1"/>
  <c r="CP94" i="4"/>
  <c r="CA94" i="4" a="1"/>
  <c r="AJ94" i="4" a="1"/>
  <c r="CF94" i="4" a="1"/>
  <c r="CJ94" i="4" a="1"/>
  <c r="CD94" i="4" a="1"/>
  <c r="BY94" i="4" a="1"/>
  <c r="BZ94" i="4" a="1"/>
  <c r="BM94" i="4" a="1"/>
  <c r="BK94" i="4" a="1"/>
  <c r="CC94" i="4" a="1"/>
  <c r="Z94" i="4" a="1"/>
  <c r="CI94" i="4" a="1"/>
  <c r="CM94" i="4"/>
  <c r="AH94" i="4" a="1"/>
  <c r="AC4" i="4" a="1"/>
  <c r="AD4" i="4" a="1"/>
  <c r="Y4" i="4" a="1"/>
  <c r="X4" i="4" a="1"/>
  <c r="CO58" i="4" a="1"/>
  <c r="CN58" i="4" a="1"/>
  <c r="CK58" i="4" a="1"/>
  <c r="CL58" i="4" a="1"/>
  <c r="CN94" i="4" a="1"/>
  <c r="CO94" i="4" a="1"/>
  <c r="CK94" i="4" a="1"/>
  <c r="CL94" i="4" a="1"/>
  <c r="BT4" i="4" l="1"/>
  <c r="CL94" i="4"/>
  <c r="CK94" i="4"/>
  <c r="CO94" i="4"/>
  <c r="CN94" i="4"/>
  <c r="CL58" i="4"/>
  <c r="CK58" i="4"/>
  <c r="CN58" i="4"/>
  <c r="CO58" i="4"/>
  <c r="X4" i="4"/>
  <c r="Y4" i="4"/>
  <c r="AD4" i="4"/>
  <c r="AC4" i="4"/>
  <c r="AH94" i="4"/>
  <c r="CI94" i="4"/>
  <c r="Z94" i="4"/>
  <c r="CC94" i="4"/>
  <c r="BK94" i="4"/>
  <c r="BM94" i="4"/>
  <c r="BZ94" i="4"/>
  <c r="BY94" i="4"/>
  <c r="CD94" i="4"/>
  <c r="CJ94" i="4"/>
  <c r="CF94" i="4"/>
  <c r="AJ94" i="4"/>
  <c r="CA94" i="4"/>
  <c r="CB94" i="4"/>
  <c r="AB94" i="4"/>
  <c r="CE94" i="4"/>
  <c r="CG94" i="4"/>
  <c r="CH94" i="4"/>
  <c r="AG4" i="4"/>
  <c r="AF4" i="4"/>
  <c r="AL4" i="4"/>
  <c r="AK4" i="4"/>
  <c r="Z58" i="4"/>
  <c r="CJ58" i="4"/>
  <c r="BK58" i="4"/>
  <c r="AJ58" i="4"/>
  <c r="CD58" i="4"/>
  <c r="CG58" i="4"/>
  <c r="CI58" i="4"/>
  <c r="CA58" i="4"/>
  <c r="CB58" i="4"/>
  <c r="AB58" i="4"/>
  <c r="CC58" i="4"/>
  <c r="BZ58" i="4"/>
  <c r="BM58" i="4"/>
  <c r="AH58" i="4"/>
  <c r="BY58" i="4"/>
  <c r="CF58" i="4"/>
  <c r="CH58" i="4"/>
  <c r="CE58" i="4"/>
  <c r="C94" i="4"/>
  <c r="BR94" i="4" a="1"/>
  <c r="BR94" i="4" s="1"/>
  <c r="A94" i="20"/>
  <c r="BS94" i="4" a="1"/>
  <c r="BS94" i="4" s="1"/>
  <c r="AZ94" i="4" a="1"/>
  <c r="AZ94" i="4" s="1"/>
  <c r="D94" i="4"/>
  <c r="G4" i="4"/>
  <c r="BL4" i="4"/>
  <c r="A159" i="13"/>
  <c r="AX60" i="13"/>
  <c r="A204" i="13"/>
  <c r="AX105" i="13"/>
  <c r="AV244" i="13"/>
  <c r="D739" i="13"/>
  <c r="C739" i="13"/>
  <c r="CY44" i="4"/>
  <c r="BV4" i="4" a="1"/>
  <c r="BV4" i="4" s="1"/>
  <c r="BW4" i="4" a="1"/>
  <c r="BW4" i="4" s="1"/>
  <c r="BU4" i="4" s="1" a="1"/>
  <c r="BU4" i="4" s="1"/>
  <c r="A195" i="13"/>
  <c r="AX96" i="13"/>
  <c r="BR58" i="4" a="1"/>
  <c r="BR58" i="4" s="1"/>
  <c r="BS58" i="4" a="1"/>
  <c r="BS58" i="4" s="1"/>
  <c r="D58" i="4"/>
  <c r="AZ58" i="4" a="1"/>
  <c r="AZ58" i="4" s="1"/>
  <c r="A58" i="20"/>
  <c r="C58" i="4"/>
  <c r="S91" i="22"/>
  <c r="AG94" i="4" a="1"/>
  <c r="AF94" i="4" a="1"/>
  <c r="AL58" i="4" a="1"/>
  <c r="AK58" i="4" a="1"/>
  <c r="Y58" i="4" a="1"/>
  <c r="X58" i="4" a="1"/>
  <c r="X94" i="4" a="1"/>
  <c r="Y94" i="4" a="1"/>
  <c r="AD94" i="4" a="1"/>
  <c r="AC94" i="4" a="1"/>
  <c r="AC58" i="4" a="1"/>
  <c r="AD58" i="4" a="1"/>
  <c r="AL94" i="4" a="1"/>
  <c r="AK94" i="4" a="1"/>
  <c r="AF58" i="4" a="1"/>
  <c r="AG58" i="4" a="1"/>
  <c r="AG58" i="4" l="1"/>
  <c r="AF58" i="4"/>
  <c r="AK94" i="4"/>
  <c r="AL94" i="4"/>
  <c r="AD58" i="4"/>
  <c r="AC58" i="4"/>
  <c r="AC94" i="4"/>
  <c r="AD94" i="4"/>
  <c r="Y94" i="4"/>
  <c r="X94" i="4"/>
  <c r="X58" i="4"/>
  <c r="Y58" i="4"/>
  <c r="AK58" i="4"/>
  <c r="AL58" i="4"/>
  <c r="AF94" i="4"/>
  <c r="AG94" i="4"/>
  <c r="BW94" i="4" a="1"/>
  <c r="BW94" i="4" s="1"/>
  <c r="BU94" i="4" s="1" a="1"/>
  <c r="BU94" i="4" s="1"/>
  <c r="BV94" i="4" a="1"/>
  <c r="BV94" i="4" s="1"/>
  <c r="AX204" i="13"/>
  <c r="A303" i="13"/>
  <c r="BL94" i="4"/>
  <c r="G94" i="4"/>
  <c r="A258" i="13"/>
  <c r="AX159" i="13"/>
  <c r="BT58" i="4"/>
  <c r="A294" i="13"/>
  <c r="AX195" i="13"/>
  <c r="AV4" i="4"/>
  <c r="Z1293" i="13"/>
  <c r="AV6" i="13"/>
  <c r="AT4" i="4"/>
  <c r="K4" i="69" s="1" a="1"/>
  <c r="K4" i="69" s="1"/>
  <c r="BT94" i="4"/>
  <c r="BV58" i="4" a="1"/>
  <c r="BV58" i="4" s="1"/>
  <c r="BW58" i="4" a="1"/>
  <c r="BW58" i="4" s="1"/>
  <c r="BU58" i="4" s="1" a="1"/>
  <c r="BU58" i="4" s="1"/>
  <c r="BL58" i="4"/>
  <c r="G58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398" i="13" l="1"/>
  <c r="Z1200" i="13"/>
  <c r="B106" i="13"/>
  <c r="A5" i="4"/>
  <c r="Z210" i="13"/>
  <c r="L10" i="4"/>
  <c r="A13" i="13"/>
  <c r="H11" i="4"/>
  <c r="A18" i="4"/>
  <c r="B119" i="13"/>
  <c r="Z1210" i="13"/>
  <c r="Z1408" i="13"/>
  <c r="Z789" i="13"/>
  <c r="M94" i="4"/>
  <c r="L22" i="4"/>
  <c r="Z222" i="13"/>
  <c r="H23" i="4"/>
  <c r="A25" i="13"/>
  <c r="E27" i="13"/>
  <c r="BP25" i="4"/>
  <c r="Z128" i="13"/>
  <c r="A30" i="4"/>
  <c r="B131" i="13"/>
  <c r="Z1222" i="13"/>
  <c r="Z1420" i="13"/>
  <c r="M33" i="4"/>
  <c r="Z728" i="13"/>
  <c r="L35" i="4"/>
  <c r="Z235" i="13"/>
  <c r="H8" i="4"/>
  <c r="A10" i="13"/>
  <c r="E39" i="13"/>
  <c r="BP37" i="4"/>
  <c r="Z140" i="13"/>
  <c r="BP41" i="4"/>
  <c r="E43" i="13"/>
  <c r="Z144" i="13"/>
  <c r="Z757" i="13"/>
  <c r="M62" i="4"/>
  <c r="Z246" i="13"/>
  <c r="L46" i="4"/>
  <c r="H47" i="4"/>
  <c r="A49" i="13"/>
  <c r="E51" i="13"/>
  <c r="BP49" i="4"/>
  <c r="Z152" i="13"/>
  <c r="A54" i="4"/>
  <c r="B155" i="13"/>
  <c r="Z1246" i="13"/>
  <c r="Z1444" i="13"/>
  <c r="M57" i="4"/>
  <c r="Z752" i="13"/>
  <c r="A59" i="4"/>
  <c r="B160" i="13"/>
  <c r="Z1251" i="13"/>
  <c r="Z1449" i="13"/>
  <c r="Z760" i="13"/>
  <c r="M65" i="4"/>
  <c r="Z264" i="13"/>
  <c r="L64" i="4"/>
  <c r="H72" i="4"/>
  <c r="A74" i="13"/>
  <c r="E69" i="13"/>
  <c r="BP67" i="4"/>
  <c r="Z172" i="13"/>
  <c r="B181" i="13"/>
  <c r="A80" i="4"/>
  <c r="Z1275" i="13"/>
  <c r="Z1473" i="13"/>
  <c r="Z763" i="13"/>
  <c r="M68" i="4"/>
  <c r="L75" i="4"/>
  <c r="Z275" i="13"/>
  <c r="H78" i="4"/>
  <c r="A80" i="13"/>
  <c r="E76" i="13"/>
  <c r="BP74" i="4"/>
  <c r="Z178" i="13"/>
  <c r="A83" i="4"/>
  <c r="B184" i="13"/>
  <c r="Z1277" i="13"/>
  <c r="Z1475" i="13"/>
  <c r="M88" i="4"/>
  <c r="Z783" i="13"/>
  <c r="L90" i="4"/>
  <c r="Z290" i="13"/>
  <c r="H82" i="4"/>
  <c r="A84" i="13"/>
  <c r="BP93" i="4"/>
  <c r="E95" i="13"/>
  <c r="H45" i="4"/>
  <c r="A47" i="13"/>
  <c r="Z221" i="13"/>
  <c r="L21" i="4"/>
  <c r="L95" i="4"/>
  <c r="Z295" i="13"/>
  <c r="AV58" i="4"/>
  <c r="Z1347" i="13"/>
  <c r="AT58" i="4"/>
  <c r="K58" i="69" s="1" a="1"/>
  <c r="K58" i="69" s="1"/>
  <c r="AV60" i="13"/>
  <c r="Z105" i="13"/>
  <c r="Z118" i="13"/>
  <c r="Z1401" i="13"/>
  <c r="Z1203" i="13"/>
  <c r="A18" i="13"/>
  <c r="H16" i="4"/>
  <c r="BP18" i="4"/>
  <c r="E20" i="13"/>
  <c r="Z121" i="13"/>
  <c r="A23" i="4"/>
  <c r="B124" i="13"/>
  <c r="Z1413" i="13"/>
  <c r="Z1215" i="13"/>
  <c r="M26" i="4"/>
  <c r="Z721" i="13"/>
  <c r="Z227" i="13"/>
  <c r="L27" i="4"/>
  <c r="A30" i="13"/>
  <c r="H28" i="4"/>
  <c r="BP30" i="4"/>
  <c r="E32" i="13"/>
  <c r="Z133" i="13"/>
  <c r="B109" i="13"/>
  <c r="A8" i="4"/>
  <c r="Z1227" i="13"/>
  <c r="Z1425" i="13"/>
  <c r="M38" i="4"/>
  <c r="Z733" i="13"/>
  <c r="L39" i="4"/>
  <c r="Z239" i="13"/>
  <c r="H44" i="4"/>
  <c r="A46" i="13"/>
  <c r="Z1231" i="13"/>
  <c r="Z1429" i="13"/>
  <c r="M42" i="4"/>
  <c r="Z737" i="13"/>
  <c r="L43" i="4"/>
  <c r="Z243" i="13"/>
  <c r="B148" i="13"/>
  <c r="A47" i="4"/>
  <c r="Z1437" i="13"/>
  <c r="Z1239" i="13"/>
  <c r="M50" i="4"/>
  <c r="Z745" i="13"/>
  <c r="Z251" i="13"/>
  <c r="L51" i="4"/>
  <c r="H52" i="4"/>
  <c r="A54" i="13"/>
  <c r="E56" i="13"/>
  <c r="BP54" i="4"/>
  <c r="Z157" i="13"/>
  <c r="BP59" i="4"/>
  <c r="E61" i="13"/>
  <c r="Z162" i="13"/>
  <c r="A72" i="4"/>
  <c r="B72" i="4" s="1"/>
  <c r="B173" i="13"/>
  <c r="Z1257" i="13"/>
  <c r="Z1455" i="13"/>
  <c r="M66" i="4"/>
  <c r="Z761" i="13"/>
  <c r="Z271" i="13"/>
  <c r="L71" i="4"/>
  <c r="A75" i="13"/>
  <c r="H73" i="4"/>
  <c r="BP80" i="4"/>
  <c r="E82" i="13"/>
  <c r="Z186" i="13"/>
  <c r="B179" i="13"/>
  <c r="A78" i="4"/>
  <c r="Z1462" i="13"/>
  <c r="Z1264" i="13"/>
  <c r="M91" i="4"/>
  <c r="Z786" i="13"/>
  <c r="Z277" i="13"/>
  <c r="L77" i="4"/>
  <c r="H79" i="4"/>
  <c r="A81" i="13"/>
  <c r="BP83" i="4"/>
  <c r="E85" i="13"/>
  <c r="Z188" i="13"/>
  <c r="A82" i="4"/>
  <c r="B183" i="13"/>
  <c r="Z1481" i="13"/>
  <c r="Z1283" i="13"/>
  <c r="Z122" i="13"/>
  <c r="AX294" i="13"/>
  <c r="A393" i="13"/>
  <c r="BP13" i="4"/>
  <c r="E15" i="13"/>
  <c r="L7" i="4"/>
  <c r="Z207" i="13"/>
  <c r="E13" i="13"/>
  <c r="BP11" i="4"/>
  <c r="Z114" i="13"/>
  <c r="A16" i="4"/>
  <c r="B117" i="13"/>
  <c r="Z1208" i="13"/>
  <c r="Z1406" i="13"/>
  <c r="M19" i="4"/>
  <c r="Z714" i="13"/>
  <c r="Z220" i="13"/>
  <c r="L20" i="4"/>
  <c r="B122" i="13"/>
  <c r="A21" i="4"/>
  <c r="E25" i="13"/>
  <c r="BP23" i="4"/>
  <c r="Z126" i="13"/>
  <c r="B129" i="13"/>
  <c r="A28" i="4"/>
  <c r="Z1220" i="13"/>
  <c r="Z1418" i="13"/>
  <c r="Z726" i="13"/>
  <c r="M31" i="4"/>
  <c r="L32" i="4"/>
  <c r="Z232" i="13"/>
  <c r="H33" i="4"/>
  <c r="A35" i="13"/>
  <c r="BP8" i="4"/>
  <c r="E10" i="13"/>
  <c r="Z138" i="13"/>
  <c r="B145" i="13"/>
  <c r="A44" i="4"/>
  <c r="Z142" i="13"/>
  <c r="H62" i="4"/>
  <c r="A64" i="13"/>
  <c r="E49" i="13"/>
  <c r="BP47" i="4"/>
  <c r="Z150" i="13"/>
  <c r="A52" i="4"/>
  <c r="B153" i="13"/>
  <c r="Z1244" i="13"/>
  <c r="Z1442" i="13"/>
  <c r="M34" i="4"/>
  <c r="Z729" i="13"/>
  <c r="Z256" i="13"/>
  <c r="L56" i="4"/>
  <c r="H57" i="4"/>
  <c r="A59" i="13"/>
  <c r="Z1447" i="13"/>
  <c r="Z1249" i="13"/>
  <c r="Z758" i="13"/>
  <c r="M63" i="4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Z285" i="13"/>
  <c r="L85" i="4"/>
  <c r="A70" i="13"/>
  <c r="H68" i="4"/>
  <c r="E80" i="13"/>
  <c r="BP78" i="4"/>
  <c r="Z175" i="13"/>
  <c r="B180" i="13"/>
  <c r="A79" i="4"/>
  <c r="Z1471" i="13"/>
  <c r="Z1273" i="13"/>
  <c r="Z779" i="13"/>
  <c r="M84" i="4"/>
  <c r="Z287" i="13"/>
  <c r="L87" i="4"/>
  <c r="H88" i="4"/>
  <c r="A90" i="13"/>
  <c r="BP82" i="4"/>
  <c r="E84" i="13"/>
  <c r="Z194" i="13"/>
  <c r="L86" i="4"/>
  <c r="Z286" i="13"/>
  <c r="M45" i="4"/>
  <c r="Z740" i="13"/>
  <c r="Z1211" i="13"/>
  <c r="Z1409" i="13"/>
  <c r="B108" i="13"/>
  <c r="A7" i="4"/>
  <c r="H13" i="4"/>
  <c r="A15" i="13"/>
  <c r="Z704" i="13"/>
  <c r="M9" i="4"/>
  <c r="Z108" i="13"/>
  <c r="B112" i="13"/>
  <c r="A11" i="4"/>
  <c r="Z1195" i="13"/>
  <c r="Z1393" i="13"/>
  <c r="Z1201" i="13"/>
  <c r="Z1399" i="13"/>
  <c r="Z707" i="13"/>
  <c r="M12" i="4"/>
  <c r="L13" i="4"/>
  <c r="Z213" i="13"/>
  <c r="A16" i="13"/>
  <c r="H14" i="4"/>
  <c r="E18" i="13"/>
  <c r="BP16" i="4"/>
  <c r="Z119" i="13"/>
  <c r="A94" i="4"/>
  <c r="B195" i="13"/>
  <c r="Z1213" i="13"/>
  <c r="Z1411" i="13"/>
  <c r="Z719" i="13"/>
  <c r="M24" i="4"/>
  <c r="Z225" i="13"/>
  <c r="L25" i="4"/>
  <c r="H26" i="4"/>
  <c r="A28" i="13"/>
  <c r="E30" i="13"/>
  <c r="BP28" i="4"/>
  <c r="Z131" i="13"/>
  <c r="B134" i="13"/>
  <c r="A33" i="4"/>
  <c r="Z1396" i="13"/>
  <c r="Z1198" i="13"/>
  <c r="Z731" i="13"/>
  <c r="M36" i="4"/>
  <c r="Z237" i="13"/>
  <c r="L37" i="4"/>
  <c r="A40" i="13"/>
  <c r="H38" i="4"/>
  <c r="E46" i="13"/>
  <c r="BP44" i="4"/>
  <c r="Z1234" i="13"/>
  <c r="Z1432" i="13"/>
  <c r="Z735" i="13"/>
  <c r="M40" i="4"/>
  <c r="Z241" i="13"/>
  <c r="L41" i="4"/>
  <c r="H42" i="4"/>
  <c r="A44" i="13"/>
  <c r="B163" i="13"/>
  <c r="A62" i="4"/>
  <c r="Z1435" i="13"/>
  <c r="Z1237" i="13"/>
  <c r="M48" i="4"/>
  <c r="Z743" i="13"/>
  <c r="L49" i="4"/>
  <c r="Z249" i="13"/>
  <c r="H50" i="4"/>
  <c r="A52" i="13"/>
  <c r="E54" i="13"/>
  <c r="BP52" i="4"/>
  <c r="Z155" i="13"/>
  <c r="B158" i="13"/>
  <c r="A57" i="4"/>
  <c r="Z160" i="13"/>
  <c r="B166" i="13"/>
  <c r="A65" i="4"/>
  <c r="B65" i="4" s="1"/>
  <c r="Z1262" i="13"/>
  <c r="Z1460" i="13"/>
  <c r="Z764" i="13"/>
  <c r="M69" i="4"/>
  <c r="Z267" i="13"/>
  <c r="L67" i="4"/>
  <c r="H66" i="4"/>
  <c r="A68" i="13"/>
  <c r="E75" i="13"/>
  <c r="BP73" i="4"/>
  <c r="Z181" i="13"/>
  <c r="B169" i="13"/>
  <c r="A68" i="4"/>
  <c r="Z1466" i="13"/>
  <c r="Z1268" i="13"/>
  <c r="M76" i="4"/>
  <c r="Z771" i="13"/>
  <c r="L74" i="4"/>
  <c r="Z274" i="13"/>
  <c r="A93" i="13"/>
  <c r="H91" i="4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E7" i="13"/>
  <c r="BP5" i="4"/>
  <c r="B104" i="13"/>
  <c r="A3" i="4"/>
  <c r="B115" i="13"/>
  <c r="A14" i="4"/>
  <c r="Z712" i="13"/>
  <c r="M17" i="4"/>
  <c r="L18" i="4"/>
  <c r="Z218" i="13"/>
  <c r="BP94" i="4"/>
  <c r="E96" i="13"/>
  <c r="B127" i="13"/>
  <c r="A26" i="4"/>
  <c r="Z1218" i="13"/>
  <c r="Z1416" i="13"/>
  <c r="Z724" i="13"/>
  <c r="M29" i="4"/>
  <c r="Z230" i="13"/>
  <c r="L30" i="4"/>
  <c r="H31" i="4"/>
  <c r="A33" i="13"/>
  <c r="E35" i="13"/>
  <c r="BP33" i="4"/>
  <c r="Z109" i="13"/>
  <c r="B139" i="13"/>
  <c r="A38" i="4"/>
  <c r="B143" i="13"/>
  <c r="A42" i="4"/>
  <c r="E64" i="13"/>
  <c r="BP62" i="4"/>
  <c r="Z148" i="13"/>
  <c r="A50" i="4"/>
  <c r="B151" i="13"/>
  <c r="Z1440" i="13"/>
  <c r="Z1242" i="13"/>
  <c r="Z748" i="13"/>
  <c r="M53" i="4"/>
  <c r="Z254" i="13"/>
  <c r="L54" i="4"/>
  <c r="A36" i="13"/>
  <c r="H34" i="4"/>
  <c r="BP57" i="4"/>
  <c r="E59" i="13"/>
  <c r="Z753" i="13"/>
  <c r="M58" i="4"/>
  <c r="L59" i="4"/>
  <c r="Z259" i="13"/>
  <c r="A65" i="13"/>
  <c r="H63" i="4"/>
  <c r="BP65" i="4"/>
  <c r="E67" i="13"/>
  <c r="Z173" i="13"/>
  <c r="A66" i="4"/>
  <c r="B167" i="13"/>
  <c r="Z1461" i="13"/>
  <c r="Z1263" i="13"/>
  <c r="Z765" i="13"/>
  <c r="M70" i="4"/>
  <c r="L80" i="4"/>
  <c r="Z280" i="13"/>
  <c r="A91" i="13"/>
  <c r="H89" i="4"/>
  <c r="E70" i="13"/>
  <c r="BP68" i="4"/>
  <c r="Z179" i="13"/>
  <c r="B192" i="13"/>
  <c r="A91" i="4"/>
  <c r="Z1269" i="13"/>
  <c r="Z1467" i="13"/>
  <c r="Z776" i="13"/>
  <c r="M81" i="4"/>
  <c r="Z283" i="13"/>
  <c r="L83" i="4"/>
  <c r="A86" i="13"/>
  <c r="H84" i="4"/>
  <c r="E90" i="13"/>
  <c r="BP88" i="4"/>
  <c r="Z183" i="13"/>
  <c r="Z1474" i="13"/>
  <c r="Z1276" i="13"/>
  <c r="Z156" i="13"/>
  <c r="Z116" i="13"/>
  <c r="M4" i="4"/>
  <c r="Z699" i="13"/>
  <c r="L5" i="4"/>
  <c r="Z205" i="13"/>
  <c r="Z112" i="13"/>
  <c r="Z124" i="13"/>
  <c r="BP3" i="4"/>
  <c r="E5" i="13"/>
  <c r="D102" i="13" s="1"/>
  <c r="Z1193" i="13"/>
  <c r="Z1391" i="13"/>
  <c r="B107" i="13"/>
  <c r="A6" i="4"/>
  <c r="Z1199" i="13"/>
  <c r="Z1397" i="13"/>
  <c r="Z705" i="13"/>
  <c r="M10" i="4"/>
  <c r="Z211" i="13"/>
  <c r="L11" i="4"/>
  <c r="A14" i="13"/>
  <c r="H12" i="4"/>
  <c r="E16" i="13"/>
  <c r="BP14" i="4"/>
  <c r="Z117" i="13"/>
  <c r="A19" i="4"/>
  <c r="B120" i="13"/>
  <c r="Z1284" i="13"/>
  <c r="Z1482" i="13"/>
  <c r="M22" i="4"/>
  <c r="Z717" i="13"/>
  <c r="Z223" i="13"/>
  <c r="L23" i="4"/>
  <c r="H24" i="4"/>
  <c r="A26" i="13"/>
  <c r="E28" i="13"/>
  <c r="BP26" i="4"/>
  <c r="Z129" i="13"/>
  <c r="B132" i="13"/>
  <c r="A31" i="4"/>
  <c r="Z1421" i="13"/>
  <c r="Z1223" i="13"/>
  <c r="Z730" i="13"/>
  <c r="M35" i="4"/>
  <c r="Z208" i="13"/>
  <c r="L8" i="4"/>
  <c r="H36" i="4"/>
  <c r="A38" i="13"/>
  <c r="BP38" i="4"/>
  <c r="E40" i="13"/>
  <c r="Z145" i="13"/>
  <c r="A42" i="13"/>
  <c r="H40" i="4"/>
  <c r="E44" i="13"/>
  <c r="BP42" i="4"/>
  <c r="Z1252" i="13"/>
  <c r="Z1450" i="13"/>
  <c r="Z741" i="13"/>
  <c r="M46" i="4"/>
  <c r="Z247" i="13"/>
  <c r="L47" i="4"/>
  <c r="A50" i="13"/>
  <c r="H48" i="4"/>
  <c r="BP50" i="4"/>
  <c r="E52" i="13"/>
  <c r="Z153" i="13"/>
  <c r="B135" i="13"/>
  <c r="A34" i="4"/>
  <c r="Z1247" i="13"/>
  <c r="Z1445" i="13"/>
  <c r="B164" i="13"/>
  <c r="A63" i="4"/>
  <c r="Z1453" i="13"/>
  <c r="Z1255" i="13"/>
  <c r="M64" i="4"/>
  <c r="Z759" i="13"/>
  <c r="Z272" i="13"/>
  <c r="L72" i="4"/>
  <c r="H69" i="4"/>
  <c r="A71" i="13"/>
  <c r="BP66" i="4"/>
  <c r="E68" i="13"/>
  <c r="Z174" i="13"/>
  <c r="A89" i="4"/>
  <c r="B190" i="13"/>
  <c r="Z1258" i="13"/>
  <c r="Z1456" i="13"/>
  <c r="M75" i="4"/>
  <c r="Z770" i="13"/>
  <c r="Z278" i="13"/>
  <c r="L78" i="4"/>
  <c r="A78" i="13"/>
  <c r="H76" i="4"/>
  <c r="E93" i="13"/>
  <c r="BP91" i="4"/>
  <c r="Z180" i="13"/>
  <c r="B185" i="13"/>
  <c r="A84" i="4"/>
  <c r="Z1278" i="13"/>
  <c r="Z1476" i="13"/>
  <c r="Z785" i="13"/>
  <c r="M90" i="4"/>
  <c r="Z282" i="13"/>
  <c r="L82" i="4"/>
  <c r="H92" i="4"/>
  <c r="A94" i="13"/>
  <c r="E88" i="13"/>
  <c r="BP86" i="4"/>
  <c r="Z1245" i="13"/>
  <c r="Z1443" i="13"/>
  <c r="M95" i="4"/>
  <c r="Z790" i="13"/>
  <c r="AX258" i="13"/>
  <c r="A357" i="13"/>
  <c r="Z215" i="13"/>
  <c r="L15" i="4"/>
  <c r="H9" i="4"/>
  <c r="A11" i="13"/>
  <c r="Z110" i="13"/>
  <c r="A12" i="4"/>
  <c r="B113" i="13"/>
  <c r="M15" i="4"/>
  <c r="Z710" i="13"/>
  <c r="L16" i="4"/>
  <c r="Z216" i="13"/>
  <c r="BP19" i="4"/>
  <c r="E21" i="13"/>
  <c r="B125" i="13"/>
  <c r="A24" i="4"/>
  <c r="Z1414" i="13"/>
  <c r="Z1216" i="13"/>
  <c r="M27" i="4"/>
  <c r="Z722" i="13"/>
  <c r="L28" i="4"/>
  <c r="Z228" i="13"/>
  <c r="H29" i="4"/>
  <c r="A31" i="13"/>
  <c r="BP31" i="4"/>
  <c r="E33" i="13"/>
  <c r="Z134" i="13"/>
  <c r="B137" i="13"/>
  <c r="A36" i="4"/>
  <c r="Z1426" i="13"/>
  <c r="Z1228" i="13"/>
  <c r="M39" i="4"/>
  <c r="Z734" i="13"/>
  <c r="L44" i="4"/>
  <c r="Z244" i="13"/>
  <c r="B141" i="13"/>
  <c r="A40" i="4"/>
  <c r="Z1430" i="13"/>
  <c r="Z1232" i="13"/>
  <c r="M43" i="4"/>
  <c r="Z738" i="13"/>
  <c r="Z163" i="13"/>
  <c r="A48" i="4"/>
  <c r="B149" i="13"/>
  <c r="Z1240" i="13"/>
  <c r="Z1438" i="13"/>
  <c r="Z746" i="13"/>
  <c r="M51" i="4"/>
  <c r="Z252" i="13"/>
  <c r="L52" i="4"/>
  <c r="A55" i="13"/>
  <c r="H53" i="4"/>
  <c r="BP34" i="4"/>
  <c r="E36" i="13"/>
  <c r="Z158" i="13"/>
  <c r="BP63" i="4"/>
  <c r="E65" i="13"/>
  <c r="Z166" i="13"/>
  <c r="A69" i="4"/>
  <c r="B170" i="13"/>
  <c r="Z1454" i="13"/>
  <c r="Z1256" i="13"/>
  <c r="M71" i="4"/>
  <c r="Z766" i="13"/>
  <c r="L73" i="4"/>
  <c r="Z273" i="13"/>
  <c r="H70" i="4"/>
  <c r="A72" i="13"/>
  <c r="BP89" i="4"/>
  <c r="E91" i="13"/>
  <c r="Z169" i="13"/>
  <c r="B177" i="13"/>
  <c r="A76" i="4"/>
  <c r="Z1479" i="13"/>
  <c r="Z1281" i="13"/>
  <c r="Z772" i="13"/>
  <c r="M77" i="4"/>
  <c r="L79" i="4"/>
  <c r="Z279" i="13"/>
  <c r="A83" i="13"/>
  <c r="H81" i="4"/>
  <c r="BP84" i="4"/>
  <c r="E86" i="13"/>
  <c r="Z189" i="13"/>
  <c r="B193" i="13"/>
  <c r="A92" i="4"/>
  <c r="A86" i="4"/>
  <c r="B187" i="13"/>
  <c r="E57" i="13"/>
  <c r="BP55" i="4"/>
  <c r="M14" i="4"/>
  <c r="Z709" i="13"/>
  <c r="Z701" i="13"/>
  <c r="M6" i="4"/>
  <c r="BP6" i="4"/>
  <c r="E8" i="13"/>
  <c r="Z1204" i="13"/>
  <c r="Z1402" i="13"/>
  <c r="A19" i="13"/>
  <c r="H17" i="4"/>
  <c r="Z195" i="13"/>
  <c r="Z104" i="13"/>
  <c r="B105" i="13"/>
  <c r="A4" i="4"/>
  <c r="Z1196" i="13"/>
  <c r="Z1394" i="13"/>
  <c r="Z702" i="13"/>
  <c r="M7" i="4"/>
  <c r="L9" i="4"/>
  <c r="Z209" i="13"/>
  <c r="H10" i="4"/>
  <c r="A12" i="13"/>
  <c r="E14" i="13"/>
  <c r="BP12" i="4"/>
  <c r="Z115" i="13"/>
  <c r="B118" i="13"/>
  <c r="A17" i="4"/>
  <c r="Z1407" i="13"/>
  <c r="Z1209" i="13"/>
  <c r="Z715" i="13"/>
  <c r="M20" i="4"/>
  <c r="Z294" i="13"/>
  <c r="L94" i="4"/>
  <c r="H22" i="4"/>
  <c r="A24" i="13"/>
  <c r="BP24" i="4"/>
  <c r="E26" i="13"/>
  <c r="Z127" i="13"/>
  <c r="A29" i="4"/>
  <c r="B130" i="13"/>
  <c r="Z1221" i="13"/>
  <c r="Z1419" i="13"/>
  <c r="Z727" i="13"/>
  <c r="M32" i="4"/>
  <c r="L33" i="4"/>
  <c r="Z233" i="13"/>
  <c r="A37" i="13"/>
  <c r="H35" i="4"/>
  <c r="E38" i="13"/>
  <c r="BP36" i="4"/>
  <c r="Z139" i="13"/>
  <c r="BP40" i="4"/>
  <c r="E42" i="13"/>
  <c r="Z143" i="13"/>
  <c r="L62" i="4"/>
  <c r="Z262" i="13"/>
  <c r="H46" i="4"/>
  <c r="A48" i="13"/>
  <c r="E50" i="13"/>
  <c r="BP48" i="4"/>
  <c r="Z151" i="13"/>
  <c r="A53" i="4"/>
  <c r="B154" i="13"/>
  <c r="Z1422" i="13"/>
  <c r="Z1224" i="13"/>
  <c r="Z751" i="13"/>
  <c r="M56" i="4"/>
  <c r="Z257" i="13"/>
  <c r="L57" i="4"/>
  <c r="B159" i="13"/>
  <c r="A58" i="4"/>
  <c r="Z1451" i="13"/>
  <c r="Z1253" i="13"/>
  <c r="Z756" i="13"/>
  <c r="M61" i="4"/>
  <c r="L65" i="4"/>
  <c r="Z265" i="13"/>
  <c r="H64" i="4"/>
  <c r="A66" i="13"/>
  <c r="BP69" i="4"/>
  <c r="E71" i="13"/>
  <c r="Z167" i="13"/>
  <c r="A70" i="4"/>
  <c r="B171" i="13"/>
  <c r="Z1477" i="13"/>
  <c r="Z1279" i="13"/>
  <c r="M85" i="4"/>
  <c r="Z780" i="13"/>
  <c r="L68" i="4"/>
  <c r="Z268" i="13"/>
  <c r="H75" i="4"/>
  <c r="A77" i="13"/>
  <c r="E78" i="13"/>
  <c r="BP76" i="4"/>
  <c r="Z192" i="13"/>
  <c r="B182" i="13"/>
  <c r="A81" i="4"/>
  <c r="Z1274" i="13"/>
  <c r="Z1472" i="13"/>
  <c r="M87" i="4"/>
  <c r="Z782" i="13"/>
  <c r="L88" i="4"/>
  <c r="Z288" i="13"/>
  <c r="H90" i="4"/>
  <c r="A92" i="13"/>
  <c r="BP92" i="4"/>
  <c r="E94" i="13"/>
  <c r="A88" i="13"/>
  <c r="H86" i="4"/>
  <c r="Z245" i="13"/>
  <c r="L45" i="4"/>
  <c r="M21" i="4"/>
  <c r="Z716" i="13"/>
  <c r="A55" i="4"/>
  <c r="B156" i="13"/>
  <c r="AV94" i="4"/>
  <c r="Z1383" i="13"/>
  <c r="AV96" i="13"/>
  <c r="AT94" i="4"/>
  <c r="K94" i="69" s="1" a="1"/>
  <c r="K94" i="69" s="1"/>
  <c r="M3" i="4"/>
  <c r="Z698" i="13"/>
  <c r="Z1197" i="13"/>
  <c r="Z1395" i="13"/>
  <c r="Z16" i="69"/>
  <c r="C5" i="1"/>
  <c r="C4" i="1"/>
  <c r="Z11" i="69"/>
  <c r="Z5" i="69"/>
  <c r="C17" i="1"/>
  <c r="C18" i="1"/>
  <c r="Z4" i="69"/>
  <c r="Z7" i="69"/>
  <c r="C19" i="1"/>
  <c r="C7" i="1"/>
  <c r="Z14" i="69"/>
  <c r="Z13" i="69"/>
  <c r="C12" i="1"/>
  <c r="C6" i="1"/>
  <c r="C13" i="1"/>
  <c r="Z3" i="69"/>
  <c r="Z12" i="69"/>
  <c r="A5" i="13"/>
  <c r="C10" i="1"/>
  <c r="Z20" i="69"/>
  <c r="Z10" i="69"/>
  <c r="Z8" i="69"/>
  <c r="C15" i="1"/>
  <c r="C9" i="1"/>
  <c r="C20" i="1"/>
  <c r="Z15" i="69"/>
  <c r="C3" i="1"/>
  <c r="C16" i="1"/>
  <c r="Z17" i="69"/>
  <c r="C14" i="1"/>
  <c r="C11" i="1"/>
  <c r="Z6" i="69"/>
  <c r="Z19" i="69"/>
  <c r="Z9" i="69"/>
  <c r="H3" i="4"/>
  <c r="C8" i="1"/>
  <c r="Z18" i="69"/>
  <c r="B110" i="13"/>
  <c r="A9" i="4"/>
  <c r="H6" i="4"/>
  <c r="A8" i="13"/>
  <c r="H19" i="4"/>
  <c r="A21" i="13"/>
  <c r="E6" i="13"/>
  <c r="BP4" i="4"/>
  <c r="Z708" i="13"/>
  <c r="M13" i="4"/>
  <c r="A17" i="13"/>
  <c r="H15" i="4"/>
  <c r="BP17" i="4"/>
  <c r="E19" i="13"/>
  <c r="Z120" i="13"/>
  <c r="B123" i="13"/>
  <c r="A22" i="4"/>
  <c r="E31" i="13"/>
  <c r="BP29" i="4"/>
  <c r="Z132" i="13"/>
  <c r="B136" i="13"/>
  <c r="A35" i="4"/>
  <c r="Z1226" i="13"/>
  <c r="Z1424" i="13"/>
  <c r="M37" i="4"/>
  <c r="Z732" i="13"/>
  <c r="Z238" i="13"/>
  <c r="L38" i="4"/>
  <c r="H39" i="4"/>
  <c r="A41" i="13"/>
  <c r="Z1230" i="13"/>
  <c r="Z1428" i="13"/>
  <c r="Z736" i="13"/>
  <c r="M41" i="4"/>
  <c r="L42" i="4"/>
  <c r="Z242" i="13"/>
  <c r="H43" i="4"/>
  <c r="A45" i="13"/>
  <c r="A46" i="4"/>
  <c r="B147" i="13"/>
  <c r="Z1436" i="13"/>
  <c r="Z1238" i="13"/>
  <c r="M49" i="4"/>
  <c r="Z744" i="13"/>
  <c r="Z250" i="13"/>
  <c r="L50" i="4"/>
  <c r="H51" i="4"/>
  <c r="A53" i="13"/>
  <c r="E55" i="13"/>
  <c r="BP53" i="4"/>
  <c r="Z135" i="13"/>
  <c r="BP58" i="4"/>
  <c r="E60" i="13"/>
  <c r="Z164" i="13"/>
  <c r="B165" i="13"/>
  <c r="A64" i="4"/>
  <c r="Z1259" i="13"/>
  <c r="Z1457" i="13"/>
  <c r="Z762" i="13"/>
  <c r="M67" i="4"/>
  <c r="L66" i="4"/>
  <c r="Z266" i="13"/>
  <c r="A73" i="13"/>
  <c r="H71" i="4"/>
  <c r="E72" i="13"/>
  <c r="BP70" i="4"/>
  <c r="Z190" i="13"/>
  <c r="A75" i="4"/>
  <c r="B176" i="13"/>
  <c r="Z1464" i="13"/>
  <c r="Z1266" i="13"/>
  <c r="Z769" i="13"/>
  <c r="M74" i="4"/>
  <c r="L91" i="4"/>
  <c r="Z291" i="13"/>
  <c r="H77" i="4"/>
  <c r="A79" i="13"/>
  <c r="BP81" i="4"/>
  <c r="E83" i="13"/>
  <c r="Z185" i="13"/>
  <c r="B191" i="13"/>
  <c r="A90" i="4"/>
  <c r="Z1282" i="13"/>
  <c r="Z1480" i="13"/>
  <c r="Z788" i="13"/>
  <c r="M93" i="4"/>
  <c r="Z146" i="13"/>
  <c r="B95" i="4"/>
  <c r="AM95" i="4" s="1"/>
  <c r="AV394" i="13" s="1"/>
  <c r="AV493" i="13" s="1"/>
  <c r="AX95" i="4" a="1"/>
  <c r="AX95" i="4" s="1"/>
  <c r="E17" i="13"/>
  <c r="BP15" i="4"/>
  <c r="Z106" i="13"/>
  <c r="E11" i="13"/>
  <c r="BP9" i="4"/>
  <c r="Z1404" i="13"/>
  <c r="Z1206" i="13"/>
  <c r="L3" i="4"/>
  <c r="A1" i="18"/>
  <c r="Z203" i="13"/>
  <c r="Z297" i="13" s="1"/>
  <c r="Z298" i="13" s="1"/>
  <c r="Z107" i="13"/>
  <c r="A10" i="4"/>
  <c r="B111" i="13"/>
  <c r="Z1400" i="13"/>
  <c r="Z1202" i="13"/>
  <c r="Z214" i="13"/>
  <c r="L14" i="4"/>
  <c r="Z1412" i="13"/>
  <c r="Z1214" i="13"/>
  <c r="Z720" i="13"/>
  <c r="M25" i="4"/>
  <c r="L26" i="4"/>
  <c r="Z226" i="13"/>
  <c r="H27" i="4"/>
  <c r="A29" i="13"/>
  <c r="Z1392" i="13"/>
  <c r="Z1194" i="13"/>
  <c r="Z700" i="13"/>
  <c r="M5" i="4"/>
  <c r="L6" i="4"/>
  <c r="Z206" i="13"/>
  <c r="A9" i="13"/>
  <c r="H7" i="4"/>
  <c r="BP10" i="4"/>
  <c r="E12" i="13"/>
  <c r="Z113" i="13"/>
  <c r="A15" i="4"/>
  <c r="B116" i="13"/>
  <c r="Z1405" i="13"/>
  <c r="Z1207" i="13"/>
  <c r="M18" i="4"/>
  <c r="Z713" i="13"/>
  <c r="Z219" i="13"/>
  <c r="L19" i="4"/>
  <c r="A22" i="13"/>
  <c r="H20" i="4"/>
  <c r="BP22" i="4"/>
  <c r="E24" i="13"/>
  <c r="Z125" i="13"/>
  <c r="B128" i="13"/>
  <c r="A27" i="4"/>
  <c r="Z1219" i="13"/>
  <c r="Z1417" i="13"/>
  <c r="Z725" i="13"/>
  <c r="M30" i="4"/>
  <c r="L31" i="4"/>
  <c r="Z231" i="13"/>
  <c r="H32" i="4"/>
  <c r="A34" i="13"/>
  <c r="BP35" i="4"/>
  <c r="E37" i="13"/>
  <c r="Z137" i="13"/>
  <c r="A39" i="4"/>
  <c r="B140" i="13"/>
  <c r="Z141" i="13"/>
  <c r="A43" i="4"/>
  <c r="B144" i="13"/>
  <c r="BP46" i="4"/>
  <c r="E48" i="13"/>
  <c r="Z149" i="13"/>
  <c r="B152" i="13"/>
  <c r="A51" i="4"/>
  <c r="Z1441" i="13"/>
  <c r="Z1243" i="13"/>
  <c r="M54" i="4"/>
  <c r="Z749" i="13"/>
  <c r="L34" i="4"/>
  <c r="Z234" i="13"/>
  <c r="H56" i="4"/>
  <c r="A58" i="13"/>
  <c r="Z1446" i="13"/>
  <c r="Z1248" i="13"/>
  <c r="M59" i="4"/>
  <c r="Z754" i="13"/>
  <c r="Z263" i="13"/>
  <c r="L63" i="4"/>
  <c r="A63" i="13"/>
  <c r="H61" i="4"/>
  <c r="BP64" i="4"/>
  <c r="E66" i="13"/>
  <c r="Z170" i="13"/>
  <c r="A71" i="4"/>
  <c r="B172" i="13"/>
  <c r="Z1458" i="13"/>
  <c r="Z1260" i="13"/>
  <c r="M80" i="4"/>
  <c r="Z775" i="13"/>
  <c r="Z289" i="13"/>
  <c r="L89" i="4"/>
  <c r="H85" i="4"/>
  <c r="A87" i="13"/>
  <c r="E77" i="13"/>
  <c r="BP75" i="4"/>
  <c r="Z177" i="13"/>
  <c r="B178" i="13"/>
  <c r="A77" i="4"/>
  <c r="Z1469" i="13"/>
  <c r="Z1271" i="13"/>
  <c r="M83" i="4"/>
  <c r="Z778" i="13"/>
  <c r="L84" i="4"/>
  <c r="Z284" i="13"/>
  <c r="A89" i="13"/>
  <c r="H87" i="4"/>
  <c r="E92" i="13"/>
  <c r="BP90" i="4"/>
  <c r="Z193" i="13"/>
  <c r="M86" i="4"/>
  <c r="Z781" i="13"/>
  <c r="Z1235" i="13"/>
  <c r="Z1433" i="13"/>
  <c r="E97" i="13"/>
  <c r="BP95" i="4"/>
  <c r="Z1212" i="13"/>
  <c r="Z1410" i="13"/>
  <c r="M23" i="4"/>
  <c r="Z718" i="13"/>
  <c r="Z224" i="13"/>
  <c r="L24" i="4"/>
  <c r="A27" i="13"/>
  <c r="H25" i="4"/>
  <c r="E29" i="13"/>
  <c r="BP27" i="4"/>
  <c r="Z130" i="13"/>
  <c r="B133" i="13"/>
  <c r="A32" i="4"/>
  <c r="Z1225" i="13"/>
  <c r="Z1423" i="13"/>
  <c r="M8" i="4"/>
  <c r="Z703" i="13"/>
  <c r="L36" i="4"/>
  <c r="Z236" i="13"/>
  <c r="H37" i="4"/>
  <c r="A39" i="13"/>
  <c r="E41" i="13"/>
  <c r="BP39" i="4"/>
  <c r="Z240" i="13"/>
  <c r="L40" i="4"/>
  <c r="H41" i="4"/>
  <c r="A43" i="13"/>
  <c r="BP43" i="4"/>
  <c r="E45" i="13"/>
  <c r="Z1236" i="13"/>
  <c r="Z1434" i="13"/>
  <c r="Z742" i="13"/>
  <c r="M47" i="4"/>
  <c r="L48" i="4"/>
  <c r="Z248" i="13"/>
  <c r="A51" i="13"/>
  <c r="H49" i="4"/>
  <c r="BP51" i="4"/>
  <c r="E53" i="13"/>
  <c r="Z154" i="13"/>
  <c r="B157" i="13"/>
  <c r="A56" i="4"/>
  <c r="Z159" i="13"/>
  <c r="B162" i="13"/>
  <c r="A61" i="4"/>
  <c r="Z1452" i="13"/>
  <c r="Z1254" i="13"/>
  <c r="M72" i="4"/>
  <c r="Z767" i="13"/>
  <c r="Z269" i="13"/>
  <c r="L69" i="4"/>
  <c r="A69" i="13"/>
  <c r="H67" i="4"/>
  <c r="E73" i="13"/>
  <c r="BP71" i="4"/>
  <c r="Z171" i="13"/>
  <c r="A85" i="4"/>
  <c r="B186" i="13"/>
  <c r="Z1463" i="13"/>
  <c r="Z1265" i="13"/>
  <c r="M78" i="4"/>
  <c r="Z773" i="13"/>
  <c r="Z276" i="13"/>
  <c r="L76" i="4"/>
  <c r="H74" i="4"/>
  <c r="A76" i="13"/>
  <c r="E79" i="13"/>
  <c r="BP77" i="4"/>
  <c r="Z182" i="13"/>
  <c r="A87" i="4"/>
  <c r="B188" i="13"/>
  <c r="Z1478" i="13"/>
  <c r="Z1280" i="13"/>
  <c r="M82" i="4"/>
  <c r="Z777" i="13"/>
  <c r="L92" i="4"/>
  <c r="Z292" i="13"/>
  <c r="A95" i="13"/>
  <c r="H93" i="4"/>
  <c r="E47" i="13"/>
  <c r="BP45" i="4"/>
  <c r="M55" i="4"/>
  <c r="Z750" i="13"/>
  <c r="Z1483" i="13"/>
  <c r="Z1285" i="13"/>
  <c r="AX303" i="13"/>
  <c r="A402" i="13"/>
  <c r="Z706" i="13"/>
  <c r="M11" i="4"/>
  <c r="Z212" i="13"/>
  <c r="L12" i="4"/>
  <c r="B121" i="13"/>
  <c r="A20" i="4"/>
  <c r="Z204" i="13"/>
  <c r="L4" i="4"/>
  <c r="H5" i="4"/>
  <c r="A7" i="13"/>
  <c r="BP7" i="4"/>
  <c r="E9" i="13"/>
  <c r="Z111" i="13"/>
  <c r="B114" i="13"/>
  <c r="A13" i="4"/>
  <c r="BA1736" i="13" s="1"/>
  <c r="Z1403" i="13"/>
  <c r="Z1205" i="13"/>
  <c r="M16" i="4"/>
  <c r="Z711" i="13"/>
  <c r="Z217" i="13"/>
  <c r="L17" i="4"/>
  <c r="H18" i="4"/>
  <c r="A20" i="13"/>
  <c r="BP20" i="4"/>
  <c r="E22" i="13"/>
  <c r="D7" i="5"/>
  <c r="D8" i="5" s="1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A41" i="4"/>
  <c r="B142" i="13"/>
  <c r="Z1431" i="13"/>
  <c r="Z1233" i="13"/>
  <c r="Z147" i="13"/>
  <c r="B150" i="13"/>
  <c r="A49" i="4"/>
  <c r="Z1439" i="13"/>
  <c r="Z1241" i="13"/>
  <c r="M52" i="4"/>
  <c r="Z747" i="13"/>
  <c r="Z253" i="13"/>
  <c r="L53" i="4"/>
  <c r="H54" i="4"/>
  <c r="A56" i="13"/>
  <c r="BP56" i="4"/>
  <c r="E58" i="13"/>
  <c r="Z258" i="13"/>
  <c r="L58" i="4"/>
  <c r="H59" i="4"/>
  <c r="A61" i="13"/>
  <c r="BP61" i="4"/>
  <c r="E63" i="13"/>
  <c r="Z165" i="13"/>
  <c r="A67" i="4"/>
  <c r="B168" i="13"/>
  <c r="Z1261" i="13"/>
  <c r="Z1459" i="13"/>
  <c r="Z768" i="13"/>
  <c r="M73" i="4"/>
  <c r="L70" i="4"/>
  <c r="Z270" i="13"/>
  <c r="H80" i="4"/>
  <c r="A82" i="13"/>
  <c r="BP85" i="4"/>
  <c r="E87" i="13"/>
  <c r="Z176" i="13"/>
  <c r="B175" i="13"/>
  <c r="A74" i="4"/>
  <c r="Z1465" i="13"/>
  <c r="Z1267" i="13"/>
  <c r="Z774" i="13"/>
  <c r="M79" i="4"/>
  <c r="L81" i="4"/>
  <c r="Z281" i="13"/>
  <c r="A85" i="13"/>
  <c r="H83" i="4"/>
  <c r="BP87" i="4"/>
  <c r="E89" i="13"/>
  <c r="Z191" i="13"/>
  <c r="A93" i="4"/>
  <c r="B194" i="13"/>
  <c r="A45" i="4"/>
  <c r="B146" i="13"/>
  <c r="Z196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Z29" i="69"/>
  <c r="Z458" i="13"/>
  <c r="Z656" i="13"/>
  <c r="Z854" i="13"/>
  <c r="Z62" i="13"/>
  <c r="Z953" i="13"/>
  <c r="Z1052" i="13"/>
  <c r="Z1151" i="13"/>
  <c r="Z359" i="13"/>
  <c r="Z557" i="13"/>
  <c r="CE45" i="4" a="1"/>
  <c r="CJ45" i="4" a="1"/>
  <c r="CP45" i="4"/>
  <c r="CA45" i="4" a="1"/>
  <c r="CM45" i="4"/>
  <c r="CG45" i="4" a="1"/>
  <c r="AJ45" i="4" a="1"/>
  <c r="AH45" i="4" a="1"/>
  <c r="CI45" i="4" a="1"/>
  <c r="CH45" i="4" a="1"/>
  <c r="BY45" i="4" a="1"/>
  <c r="BM45" i="4" a="1"/>
  <c r="CC45" i="4" a="1"/>
  <c r="AB45" i="4" a="1"/>
  <c r="CD45" i="4" a="1"/>
  <c r="BZ45" i="4" a="1"/>
  <c r="BK45" i="4" a="1"/>
  <c r="CF45" i="4" a="1"/>
  <c r="CB45" i="4" a="1"/>
  <c r="Z45" i="4" a="1"/>
  <c r="BK44" i="4" a="1"/>
  <c r="CD44" i="4" a="1"/>
  <c r="CH44" i="4" a="1"/>
  <c r="Z44" i="4" a="1"/>
  <c r="BY44" i="4" a="1"/>
  <c r="AB44" i="4" a="1"/>
  <c r="CA44" i="4" a="1"/>
  <c r="CF44" i="4" a="1"/>
  <c r="AH44" i="4" a="1"/>
  <c r="CJ44" i="4" a="1"/>
  <c r="BZ44" i="4" a="1"/>
  <c r="CI44" i="4" a="1"/>
  <c r="BM44" i="4" a="1"/>
  <c r="CG44" i="4" a="1"/>
  <c r="CM44" i="4"/>
  <c r="CE44" i="4" a="1"/>
  <c r="CC44" i="4" a="1"/>
  <c r="AJ44" i="4" a="1"/>
  <c r="CB44" i="4" a="1"/>
  <c r="CP44" i="4"/>
  <c r="CP79" i="4"/>
  <c r="BY79" i="4" a="1"/>
  <c r="CM79" i="4"/>
  <c r="CB79" i="4" a="1"/>
  <c r="CJ79" i="4" a="1"/>
  <c r="AB79" i="4" a="1"/>
  <c r="Z79" i="4" a="1"/>
  <c r="AH79" i="4" a="1"/>
  <c r="BM79" i="4" a="1"/>
  <c r="BZ79" i="4" a="1"/>
  <c r="CC79" i="4" a="1"/>
  <c r="CE79" i="4" a="1"/>
  <c r="CG79" i="4" a="1"/>
  <c r="AJ79" i="4" a="1"/>
  <c r="CH79" i="4" a="1"/>
  <c r="CF79" i="4" a="1"/>
  <c r="BK79" i="4" a="1"/>
  <c r="CI79" i="4" a="1"/>
  <c r="CD79" i="4" a="1"/>
  <c r="CA79" i="4" a="1"/>
  <c r="AH36" i="4" a="1"/>
  <c r="CM36" i="4"/>
  <c r="CH36" i="4" a="1"/>
  <c r="CJ36" i="4" a="1"/>
  <c r="CB36" i="4" a="1"/>
  <c r="AJ36" i="4" a="1"/>
  <c r="BZ36" i="4" a="1"/>
  <c r="Z36" i="4" a="1"/>
  <c r="CC36" i="4" a="1"/>
  <c r="BM36" i="4" a="1"/>
  <c r="CI36" i="4" a="1"/>
  <c r="CA36" i="4" a="1"/>
  <c r="CD36" i="4" a="1"/>
  <c r="CG36" i="4" a="1"/>
  <c r="BY36" i="4" a="1"/>
  <c r="CF36" i="4" a="1"/>
  <c r="CP36" i="4"/>
  <c r="AB36" i="4" a="1"/>
  <c r="BK36" i="4" a="1"/>
  <c r="CE36" i="4" a="1"/>
  <c r="AH10" i="4" a="1"/>
  <c r="AJ10" i="4" a="1"/>
  <c r="CA10" i="4" a="1"/>
  <c r="CM10" i="4"/>
  <c r="CB10" i="4" a="1"/>
  <c r="CJ10" i="4" a="1"/>
  <c r="Z10" i="4" a="1"/>
  <c r="BY10" i="4" a="1"/>
  <c r="AB10" i="4" a="1"/>
  <c r="BZ10" i="4" a="1"/>
  <c r="BM10" i="4" a="1"/>
  <c r="CD10" i="4" a="1"/>
  <c r="CI10" i="4" a="1"/>
  <c r="CF10" i="4" a="1"/>
  <c r="CP10" i="4"/>
  <c r="CE10" i="4" a="1"/>
  <c r="CH10" i="4" a="1"/>
  <c r="CG10" i="4" a="1"/>
  <c r="CC10" i="4" a="1"/>
  <c r="BK10" i="4" a="1"/>
  <c r="CB6" i="4" a="1"/>
  <c r="CG6" i="4" a="1"/>
  <c r="BK6" i="4" a="1"/>
  <c r="BM6" i="4" a="1"/>
  <c r="CA6" i="4" a="1"/>
  <c r="BY6" i="4" a="1"/>
  <c r="CJ6" i="4" a="1"/>
  <c r="CF6" i="4" a="1"/>
  <c r="CP6" i="4"/>
  <c r="AB6" i="4" a="1"/>
  <c r="AJ6" i="4" a="1"/>
  <c r="CE6" i="4" a="1"/>
  <c r="Z6" i="4" a="1"/>
  <c r="CM6" i="4"/>
  <c r="CI6" i="4" a="1"/>
  <c r="AH6" i="4" a="1"/>
  <c r="CH6" i="4" a="1"/>
  <c r="BZ6" i="4" a="1"/>
  <c r="CC6" i="4" a="1"/>
  <c r="CD6" i="4" a="1"/>
  <c r="CP43" i="4"/>
  <c r="AH43" i="4" a="1"/>
  <c r="CM43" i="4"/>
  <c r="CF43" i="4" a="1"/>
  <c r="AB43" i="4" a="1"/>
  <c r="AJ43" i="4" a="1"/>
  <c r="CB43" i="4" a="1"/>
  <c r="BM43" i="4" a="1"/>
  <c r="CG43" i="4" a="1"/>
  <c r="CE43" i="4" a="1"/>
  <c r="CI43" i="4" a="1"/>
  <c r="BY43" i="4" a="1"/>
  <c r="BK43" i="4" a="1"/>
  <c r="CD43" i="4" a="1"/>
  <c r="CH43" i="4" a="1"/>
  <c r="Z43" i="4" a="1"/>
  <c r="CJ43" i="4" a="1"/>
  <c r="CC43" i="4" a="1"/>
  <c r="BZ43" i="4" a="1"/>
  <c r="CA43" i="4" a="1"/>
  <c r="CH27" i="4" a="1"/>
  <c r="CG27" i="4" a="1"/>
  <c r="AH27" i="4" a="1"/>
  <c r="BK27" i="4" a="1"/>
  <c r="CP27" i="4"/>
  <c r="CF27" i="4" a="1"/>
  <c r="BM27" i="4" a="1"/>
  <c r="CI27" i="4" a="1"/>
  <c r="AJ27" i="4" a="1"/>
  <c r="CB27" i="4" a="1"/>
  <c r="Z27" i="4" a="1"/>
  <c r="CM27" i="4"/>
  <c r="CA27" i="4" a="1"/>
  <c r="CJ27" i="4" a="1"/>
  <c r="CE27" i="4" a="1"/>
  <c r="BY27" i="4" a="1"/>
  <c r="CC27" i="4" a="1"/>
  <c r="BZ27" i="4" a="1"/>
  <c r="CD27" i="4" a="1"/>
  <c r="AB27" i="4" a="1"/>
  <c r="CA32" i="4" a="1"/>
  <c r="CG32" i="4" a="1"/>
  <c r="AJ32" i="4" a="1"/>
  <c r="CP32" i="4"/>
  <c r="CF32" i="4" a="1"/>
  <c r="CE32" i="4" a="1"/>
  <c r="CD32" i="4" a="1"/>
  <c r="CI32" i="4" a="1"/>
  <c r="BM32" i="4" a="1"/>
  <c r="BK32" i="4" a="1"/>
  <c r="BY32" i="4" a="1"/>
  <c r="Z32" i="4" a="1"/>
  <c r="AB32" i="4" a="1"/>
  <c r="AH32" i="4" a="1"/>
  <c r="CB32" i="4" a="1"/>
  <c r="CJ32" i="4" a="1"/>
  <c r="CC32" i="4" a="1"/>
  <c r="BZ32" i="4" a="1"/>
  <c r="CM32" i="4"/>
  <c r="CH32" i="4" a="1"/>
  <c r="BK56" i="4" a="1"/>
  <c r="AJ56" i="4" a="1"/>
  <c r="CF56" i="4" a="1"/>
  <c r="AB56" i="4" a="1"/>
  <c r="CD56" i="4" a="1"/>
  <c r="CI56" i="4" a="1"/>
  <c r="CB56" i="4" a="1"/>
  <c r="BY56" i="4" a="1"/>
  <c r="BZ56" i="4" a="1"/>
  <c r="CM56" i="4"/>
  <c r="CH56" i="4" a="1"/>
  <c r="CE56" i="4" a="1"/>
  <c r="CP56" i="4"/>
  <c r="CJ56" i="4" a="1"/>
  <c r="AH56" i="4" a="1"/>
  <c r="BM56" i="4" a="1"/>
  <c r="CC56" i="4" a="1"/>
  <c r="CA56" i="4" a="1"/>
  <c r="Z56" i="4" a="1"/>
  <c r="CG56" i="4" a="1"/>
  <c r="CE93" i="4" a="1"/>
  <c r="CP93" i="4"/>
  <c r="CH93" i="4" a="1"/>
  <c r="CB93" i="4" a="1"/>
  <c r="AB93" i="4" a="1"/>
  <c r="CC93" i="4" a="1"/>
  <c r="BK93" i="4" a="1"/>
  <c r="AH93" i="4" a="1"/>
  <c r="CG93" i="4" a="1"/>
  <c r="CA93" i="4" a="1"/>
  <c r="BZ93" i="4" a="1"/>
  <c r="AJ93" i="4" a="1"/>
  <c r="CF93" i="4" a="1"/>
  <c r="CD93" i="4" a="1"/>
  <c r="CJ93" i="4" a="1"/>
  <c r="BY93" i="4" a="1"/>
  <c r="CM93" i="4"/>
  <c r="CI93" i="4" a="1"/>
  <c r="BM93" i="4" a="1"/>
  <c r="Z93" i="4" a="1"/>
  <c r="Z37" i="4" a="1"/>
  <c r="CJ37" i="4" a="1"/>
  <c r="AB37" i="4" a="1"/>
  <c r="CM37" i="4"/>
  <c r="CD37" i="4" a="1"/>
  <c r="CB37" i="4" a="1"/>
  <c r="BK37" i="4" a="1"/>
  <c r="CG37" i="4" a="1"/>
  <c r="CA37" i="4" a="1"/>
  <c r="CC37" i="4" a="1"/>
  <c r="CH37" i="4" a="1"/>
  <c r="AJ37" i="4" a="1"/>
  <c r="CF37" i="4" a="1"/>
  <c r="BM37" i="4" a="1"/>
  <c r="CP37" i="4"/>
  <c r="CE37" i="4" a="1"/>
  <c r="CI37" i="4" a="1"/>
  <c r="BZ37" i="4" a="1"/>
  <c r="AH37" i="4" a="1"/>
  <c r="BY37" i="4" a="1"/>
  <c r="CD74" i="4" a="1"/>
  <c r="BZ74" i="4" a="1"/>
  <c r="AH74" i="4" a="1"/>
  <c r="CM74" i="4"/>
  <c r="CH74" i="4" a="1"/>
  <c r="CG74" i="4" a="1"/>
  <c r="CB74" i="4" a="1"/>
  <c r="CI74" i="4" a="1"/>
  <c r="AJ74" i="4" a="1"/>
  <c r="BM74" i="4" a="1"/>
  <c r="CE74" i="4" a="1"/>
  <c r="CC74" i="4" a="1"/>
  <c r="AB74" i="4" a="1"/>
  <c r="CP74" i="4"/>
  <c r="BK74" i="4" a="1"/>
  <c r="BY74" i="4" a="1"/>
  <c r="Z74" i="4" a="1"/>
  <c r="CJ74" i="4" a="1"/>
  <c r="CF74" i="4" a="1"/>
  <c r="CA74" i="4" a="1"/>
  <c r="CG83" i="4" a="1"/>
  <c r="CA83" i="4" a="1"/>
  <c r="BZ83" i="4" a="1"/>
  <c r="CM83" i="4"/>
  <c r="BY83" i="4" a="1"/>
  <c r="CE83" i="4" a="1"/>
  <c r="CH83" i="4" a="1"/>
  <c r="CI83" i="4" a="1"/>
  <c r="BM83" i="4" a="1"/>
  <c r="CJ83" i="4" a="1"/>
  <c r="CD83" i="4" a="1"/>
  <c r="AH83" i="4" a="1"/>
  <c r="AJ83" i="4" a="1"/>
  <c r="BK83" i="4" a="1"/>
  <c r="CF83" i="4" a="1"/>
  <c r="Z83" i="4" a="1"/>
  <c r="AB83" i="4" a="1"/>
  <c r="CB83" i="4" a="1"/>
  <c r="CP83" i="4"/>
  <c r="CC83" i="4" a="1"/>
  <c r="AH34" i="4" a="1"/>
  <c r="BK34" i="4" a="1"/>
  <c r="CI34" i="4" a="1"/>
  <c r="CA34" i="4" a="1"/>
  <c r="CD34" i="4" a="1"/>
  <c r="CP34" i="4"/>
  <c r="CF34" i="4" a="1"/>
  <c r="CC34" i="4" a="1"/>
  <c r="CG34" i="4" a="1"/>
  <c r="CB34" i="4" a="1"/>
  <c r="AB34" i="4" a="1"/>
  <c r="Z34" i="4" a="1"/>
  <c r="AJ34" i="4" a="1"/>
  <c r="CH34" i="4" a="1"/>
  <c r="BZ34" i="4" a="1"/>
  <c r="CJ34" i="4" a="1"/>
  <c r="CE34" i="4" a="1"/>
  <c r="BM34" i="4" a="1"/>
  <c r="CM34" i="4"/>
  <c r="BY34" i="4" a="1"/>
  <c r="BY84" i="4" a="1"/>
  <c r="CP84" i="4"/>
  <c r="CF84" i="4" a="1"/>
  <c r="AH84" i="4" a="1"/>
  <c r="AB84" i="4" a="1"/>
  <c r="CB84" i="4" a="1"/>
  <c r="CI84" i="4" a="1"/>
  <c r="CG84" i="4" a="1"/>
  <c r="BK84" i="4" a="1"/>
  <c r="BZ84" i="4" a="1"/>
  <c r="CD84" i="4" a="1"/>
  <c r="CJ84" i="4" a="1"/>
  <c r="CH84" i="4" a="1"/>
  <c r="Z84" i="4" a="1"/>
  <c r="AJ84" i="4" a="1"/>
  <c r="CM84" i="4"/>
  <c r="CC84" i="4" a="1"/>
  <c r="CA84" i="4" a="1"/>
  <c r="CE84" i="4" a="1"/>
  <c r="BM84" i="4" a="1"/>
  <c r="CE76" i="4" a="1"/>
  <c r="CH76" i="4" a="1"/>
  <c r="CF76" i="4" a="1"/>
  <c r="BY76" i="4" a="1"/>
  <c r="CI76" i="4" a="1"/>
  <c r="CG76" i="4" a="1"/>
  <c r="BZ76" i="4" a="1"/>
  <c r="CM76" i="4"/>
  <c r="CP76" i="4"/>
  <c r="Z76" i="4" a="1"/>
  <c r="AH76" i="4" a="1"/>
  <c r="CD76" i="4" a="1"/>
  <c r="CJ76" i="4" a="1"/>
  <c r="CC76" i="4" a="1"/>
  <c r="BM76" i="4" a="1"/>
  <c r="CA76" i="4" a="1"/>
  <c r="CB76" i="4" a="1"/>
  <c r="BK76" i="4" a="1"/>
  <c r="AB76" i="4" a="1"/>
  <c r="AJ76" i="4" a="1"/>
  <c r="CP87" i="4"/>
  <c r="CM87" i="4"/>
  <c r="BK87" i="4" a="1"/>
  <c r="CD87" i="4" a="1"/>
  <c r="AH87" i="4" a="1"/>
  <c r="CI87" i="4" a="1"/>
  <c r="CF87" i="4" a="1"/>
  <c r="BY87" i="4" a="1"/>
  <c r="BZ87" i="4" a="1"/>
  <c r="AB87" i="4" a="1"/>
  <c r="CH87" i="4" a="1"/>
  <c r="CE87" i="4" a="1"/>
  <c r="CJ87" i="4" a="1"/>
  <c r="CA87" i="4" a="1"/>
  <c r="CG87" i="4" a="1"/>
  <c r="AJ87" i="4" a="1"/>
  <c r="BM87" i="4" a="1"/>
  <c r="CC87" i="4" a="1"/>
  <c r="Z87" i="4" a="1"/>
  <c r="CB87" i="4" a="1"/>
  <c r="CH49" i="4" a="1"/>
  <c r="CJ49" i="4" a="1"/>
  <c r="CI49" i="4" a="1"/>
  <c r="CB49" i="4" a="1"/>
  <c r="BZ49" i="4" a="1"/>
  <c r="CA49" i="4" a="1"/>
  <c r="AJ49" i="4" a="1"/>
  <c r="CG49" i="4" a="1"/>
  <c r="CE49" i="4" a="1"/>
  <c r="BY49" i="4" a="1"/>
  <c r="CD49" i="4" a="1"/>
  <c r="BK49" i="4" a="1"/>
  <c r="CC49" i="4" a="1"/>
  <c r="CM49" i="4"/>
  <c r="CP49" i="4"/>
  <c r="CF49" i="4" a="1"/>
  <c r="Z49" i="4" a="1"/>
  <c r="BM49" i="4" a="1"/>
  <c r="AB49" i="4" a="1"/>
  <c r="AH49" i="4" a="1"/>
  <c r="CJ61" i="4" a="1"/>
  <c r="CA61" i="4" a="1"/>
  <c r="BZ61" i="4" a="1"/>
  <c r="AB61" i="4" a="1"/>
  <c r="BK61" i="4" a="1"/>
  <c r="CC61" i="4" a="1"/>
  <c r="CD61" i="4" a="1"/>
  <c r="CP61" i="4"/>
  <c r="CH61" i="4" a="1"/>
  <c r="CF61" i="4" a="1"/>
  <c r="AJ61" i="4" a="1"/>
  <c r="BY61" i="4" a="1"/>
  <c r="CM61" i="4"/>
  <c r="CB61" i="4" a="1"/>
  <c r="BM61" i="4" a="1"/>
  <c r="AH61" i="4" a="1"/>
  <c r="CG61" i="4" a="1"/>
  <c r="CI61" i="4" a="1"/>
  <c r="CE61" i="4" a="1"/>
  <c r="Z61" i="4" a="1"/>
  <c r="CB50" i="4" a="1"/>
  <c r="AB50" i="4" a="1"/>
  <c r="CA50" i="4" a="1"/>
  <c r="CC50" i="4" a="1"/>
  <c r="CG50" i="4" a="1"/>
  <c r="BK50" i="4" a="1"/>
  <c r="Z50" i="4" a="1"/>
  <c r="AJ50" i="4" a="1"/>
  <c r="CI50" i="4" a="1"/>
  <c r="CH50" i="4" a="1"/>
  <c r="CD50" i="4" a="1"/>
  <c r="BM50" i="4" a="1"/>
  <c r="BY50" i="4" a="1"/>
  <c r="CJ50" i="4" a="1"/>
  <c r="AH50" i="4" a="1"/>
  <c r="CP50" i="4"/>
  <c r="BZ50" i="4" a="1"/>
  <c r="CF50" i="4" a="1"/>
  <c r="CE50" i="4" a="1"/>
  <c r="CM50" i="4"/>
  <c r="AJ31" i="4" a="1"/>
  <c r="CC31" i="4" a="1"/>
  <c r="CG31" i="4" a="1"/>
  <c r="CE31" i="4" a="1"/>
  <c r="CM31" i="4"/>
  <c r="Z31" i="4" a="1"/>
  <c r="CP31" i="4"/>
  <c r="CA31" i="4" a="1"/>
  <c r="CB31" i="4" a="1"/>
  <c r="CH31" i="4" a="1"/>
  <c r="CI31" i="4" a="1"/>
  <c r="CF31" i="4" a="1"/>
  <c r="AH31" i="4" a="1"/>
  <c r="BM31" i="4" a="1"/>
  <c r="CD31" i="4" a="1"/>
  <c r="AB31" i="4" a="1"/>
  <c r="CJ31" i="4" a="1"/>
  <c r="BY31" i="4" a="1"/>
  <c r="BZ31" i="4" a="1"/>
  <c r="BK31" i="4" a="1"/>
  <c r="CP92" i="4"/>
  <c r="CF92" i="4" a="1"/>
  <c r="CM92" i="4"/>
  <c r="CD92" i="4" a="1"/>
  <c r="CI92" i="4" a="1"/>
  <c r="BK92" i="4" a="1"/>
  <c r="CJ92" i="4" a="1"/>
  <c r="CH92" i="4" a="1"/>
  <c r="CB92" i="4" a="1"/>
  <c r="CE92" i="4" a="1"/>
  <c r="AH92" i="4" a="1"/>
  <c r="BM92" i="4" a="1"/>
  <c r="CA92" i="4" a="1"/>
  <c r="BY92" i="4" a="1"/>
  <c r="BZ92" i="4" a="1"/>
  <c r="CG92" i="4" a="1"/>
  <c r="AJ92" i="4" a="1"/>
  <c r="Z92" i="4" a="1"/>
  <c r="AB92" i="4" a="1"/>
  <c r="CC92" i="4" a="1"/>
  <c r="AB81" i="4" a="1"/>
  <c r="CF81" i="4" a="1"/>
  <c r="CB81" i="4" a="1"/>
  <c r="AJ81" i="4" a="1"/>
  <c r="AH81" i="4" a="1"/>
  <c r="BZ81" i="4" a="1"/>
  <c r="CC81" i="4" a="1"/>
  <c r="CD81" i="4" a="1"/>
  <c r="Z81" i="4" a="1"/>
  <c r="CM81" i="4"/>
  <c r="CA81" i="4" a="1"/>
  <c r="CG81" i="4" a="1"/>
  <c r="CE81" i="4" a="1"/>
  <c r="CH81" i="4" a="1"/>
  <c r="BK81" i="4" a="1"/>
  <c r="BM81" i="4" a="1"/>
  <c r="CI81" i="4" a="1"/>
  <c r="CP81" i="4"/>
  <c r="CJ81" i="4" a="1"/>
  <c r="BY81" i="4" a="1"/>
  <c r="BM22" i="4" a="1"/>
  <c r="AB22" i="4" a="1"/>
  <c r="CG22" i="4" a="1"/>
  <c r="CJ22" i="4" a="1"/>
  <c r="CB22" i="4" a="1"/>
  <c r="AH22" i="4" a="1"/>
  <c r="BZ22" i="4" a="1"/>
  <c r="BK22" i="4" a="1"/>
  <c r="CM22" i="4"/>
  <c r="CP22" i="4"/>
  <c r="CH22" i="4" a="1"/>
  <c r="CE22" i="4" a="1"/>
  <c r="AJ22" i="4" a="1"/>
  <c r="CI22" i="4" a="1"/>
  <c r="Z22" i="4" a="1"/>
  <c r="BY22" i="4" a="1"/>
  <c r="CC22" i="4" a="1"/>
  <c r="CA22" i="4" a="1"/>
  <c r="CF22" i="4" a="1"/>
  <c r="CD22" i="4" a="1"/>
  <c r="CB64" i="4" a="1"/>
  <c r="BM64" i="4" a="1"/>
  <c r="CI64" i="4" a="1"/>
  <c r="CG64" i="4" a="1"/>
  <c r="CD64" i="4" a="1"/>
  <c r="AJ64" i="4" a="1"/>
  <c r="CF64" i="4" a="1"/>
  <c r="CH64" i="4" a="1"/>
  <c r="CE64" i="4" a="1"/>
  <c r="AH64" i="4" a="1"/>
  <c r="CJ64" i="4" a="1"/>
  <c r="BY64" i="4" a="1"/>
  <c r="CC64" i="4" a="1"/>
  <c r="BZ64" i="4" a="1"/>
  <c r="CM64" i="4"/>
  <c r="CA64" i="4" a="1"/>
  <c r="AB64" i="4" a="1"/>
  <c r="CP64" i="4"/>
  <c r="Z64" i="4" a="1"/>
  <c r="BK64" i="4" a="1"/>
  <c r="BK19" i="4" a="1"/>
  <c r="CJ19" i="4" a="1"/>
  <c r="CD19" i="4" a="1"/>
  <c r="BZ19" i="4" a="1"/>
  <c r="AJ19" i="4" a="1"/>
  <c r="CH19" i="4" a="1"/>
  <c r="CP19" i="4"/>
  <c r="CF19" i="4" a="1"/>
  <c r="CC19" i="4" a="1"/>
  <c r="CI19" i="4" a="1"/>
  <c r="CG19" i="4" a="1"/>
  <c r="CE19" i="4" a="1"/>
  <c r="BM19" i="4" a="1"/>
  <c r="CA19" i="4" a="1"/>
  <c r="BY19" i="4" a="1"/>
  <c r="CM19" i="4"/>
  <c r="AH19" i="4" a="1"/>
  <c r="AB19" i="4" a="1"/>
  <c r="Z19" i="4" a="1"/>
  <c r="CB19" i="4" a="1"/>
  <c r="AB14" i="4" a="1"/>
  <c r="CG14" i="4" a="1"/>
  <c r="CM14" i="4"/>
  <c r="AJ14" i="4" a="1"/>
  <c r="BY14" i="4" a="1"/>
  <c r="CC14" i="4" a="1"/>
  <c r="BM14" i="4" a="1"/>
  <c r="CD14" i="4" a="1"/>
  <c r="CP14" i="4"/>
  <c r="CA14" i="4" a="1"/>
  <c r="BK14" i="4" a="1"/>
  <c r="Z14" i="4" a="1"/>
  <c r="CE14" i="4" a="1"/>
  <c r="BZ14" i="4" a="1"/>
  <c r="CJ14" i="4" a="1"/>
  <c r="CH14" i="4" a="1"/>
  <c r="CI14" i="4" a="1"/>
  <c r="CF14" i="4" a="1"/>
  <c r="AH14" i="4" a="1"/>
  <c r="CB14" i="4" a="1"/>
  <c r="BY9" i="4" a="1"/>
  <c r="CE9" i="4" a="1"/>
  <c r="BM9" i="4" a="1"/>
  <c r="CD9" i="4" a="1"/>
  <c r="AJ9" i="4" a="1"/>
  <c r="Z9" i="4" a="1"/>
  <c r="CB9" i="4" a="1"/>
  <c r="BZ9" i="4" a="1"/>
  <c r="AH9" i="4" a="1"/>
  <c r="CG9" i="4" a="1"/>
  <c r="CM9" i="4"/>
  <c r="CH9" i="4" a="1"/>
  <c r="CP9" i="4"/>
  <c r="CF9" i="4" a="1"/>
  <c r="BK9" i="4" a="1"/>
  <c r="CA9" i="4" a="1"/>
  <c r="CC9" i="4" a="1"/>
  <c r="AB9" i="4" a="1"/>
  <c r="CJ9" i="4" a="1"/>
  <c r="CI9" i="4" a="1"/>
  <c r="CG41" i="4" a="1"/>
  <c r="CE41" i="4" a="1"/>
  <c r="CI41" i="4" a="1"/>
  <c r="Z41" i="4" a="1"/>
  <c r="BM41" i="4" a="1"/>
  <c r="AB41" i="4" a="1"/>
  <c r="CP41" i="4"/>
  <c r="CB41" i="4" a="1"/>
  <c r="BK41" i="4" a="1"/>
  <c r="CF41" i="4" a="1"/>
  <c r="BZ41" i="4" a="1"/>
  <c r="AH41" i="4" a="1"/>
  <c r="BY41" i="4" a="1"/>
  <c r="AJ41" i="4" a="1"/>
  <c r="CD41" i="4" a="1"/>
  <c r="CM41" i="4"/>
  <c r="CC41" i="4" a="1"/>
  <c r="CA41" i="4" a="1"/>
  <c r="CH41" i="4" a="1"/>
  <c r="CJ41" i="4" a="1"/>
  <c r="CJ59" i="4" a="1"/>
  <c r="CM59" i="4"/>
  <c r="AH59" i="4" a="1"/>
  <c r="CI59" i="4" a="1"/>
  <c r="BZ59" i="4" a="1"/>
  <c r="CH59" i="4" a="1"/>
  <c r="CE59" i="4" a="1"/>
  <c r="CG59" i="4" a="1"/>
  <c r="CC59" i="4" a="1"/>
  <c r="CB59" i="4" a="1"/>
  <c r="AJ59" i="4" a="1"/>
  <c r="CA59" i="4" a="1"/>
  <c r="AB59" i="4" a="1"/>
  <c r="BY59" i="4" a="1"/>
  <c r="CD59" i="4" a="1"/>
  <c r="BM59" i="4" a="1"/>
  <c r="CP59" i="4"/>
  <c r="BK59" i="4" a="1"/>
  <c r="CF59" i="4" a="1"/>
  <c r="Z59" i="4" a="1"/>
  <c r="AJ23" i="4" a="1"/>
  <c r="BK23" i="4" a="1"/>
  <c r="CD23" i="4" a="1"/>
  <c r="CP23" i="4"/>
  <c r="CF23" i="4" a="1"/>
  <c r="BZ23" i="4" a="1"/>
  <c r="CB23" i="4" a="1"/>
  <c r="CI23" i="4" a="1"/>
  <c r="AH23" i="4" a="1"/>
  <c r="CE23" i="4" a="1"/>
  <c r="CC23" i="4" a="1"/>
  <c r="CH23" i="4" a="1"/>
  <c r="CA23" i="4" a="1"/>
  <c r="Z23" i="4" a="1"/>
  <c r="CJ23" i="4" a="1"/>
  <c r="CM23" i="4"/>
  <c r="BM23" i="4" a="1"/>
  <c r="BY23" i="4" a="1"/>
  <c r="CG23" i="4" a="1"/>
  <c r="AB23" i="4" a="1"/>
  <c r="CI72" i="4" a="1"/>
  <c r="BG72" i="4" a="1"/>
  <c r="BK72" i="4" a="1"/>
  <c r="CH72" i="4" a="1"/>
  <c r="AJ72" i="4" a="1"/>
  <c r="CD72" i="4" a="1"/>
  <c r="CG72" i="4" a="1"/>
  <c r="BH72" i="4" a="1"/>
  <c r="CJ72" i="4" a="1"/>
  <c r="BM72" i="4" a="1"/>
  <c r="AB72" i="4" a="1"/>
  <c r="Z72" i="4" a="1"/>
  <c r="CE72" i="4" a="1"/>
  <c r="AH72" i="4" a="1"/>
  <c r="CA72" i="4" a="1"/>
  <c r="CB72" i="4" a="1"/>
  <c r="CM72" i="4"/>
  <c r="CF72" i="4" a="1"/>
  <c r="BY72" i="4" a="1"/>
  <c r="BF72" i="4" a="1"/>
  <c r="CC72" i="4" a="1"/>
  <c r="BZ72" i="4" a="1"/>
  <c r="CP72" i="4"/>
  <c r="CC52" i="4" a="1"/>
  <c r="CF52" i="4" a="1"/>
  <c r="AH52" i="4" a="1"/>
  <c r="AB52" i="4" a="1"/>
  <c r="BK52" i="4" a="1"/>
  <c r="CP52" i="4"/>
  <c r="BM52" i="4" a="1"/>
  <c r="Z52" i="4" a="1"/>
  <c r="CH52" i="4" a="1"/>
  <c r="CE52" i="4" a="1"/>
  <c r="CJ52" i="4" a="1"/>
  <c r="CI52" i="4" a="1"/>
  <c r="CD52" i="4" a="1"/>
  <c r="AJ52" i="4" a="1"/>
  <c r="CG52" i="4" a="1"/>
  <c r="CA52" i="4" a="1"/>
  <c r="BZ52" i="4" a="1"/>
  <c r="BY52" i="4" a="1"/>
  <c r="CB52" i="4" a="1"/>
  <c r="CM52" i="4"/>
  <c r="CJ26" i="4" a="1"/>
  <c r="CC26" i="4" a="1"/>
  <c r="CB26" i="4" a="1"/>
  <c r="Z26" i="4" a="1"/>
  <c r="CF26" i="4" a="1"/>
  <c r="BZ26" i="4" a="1"/>
  <c r="AH26" i="4" a="1"/>
  <c r="BY26" i="4" a="1"/>
  <c r="CD26" i="4" a="1"/>
  <c r="CI26" i="4" a="1"/>
  <c r="AB26" i="4" a="1"/>
  <c r="CH26" i="4" a="1"/>
  <c r="AJ26" i="4" a="1"/>
  <c r="CE26" i="4" a="1"/>
  <c r="BM26" i="4" a="1"/>
  <c r="BK26" i="4" a="1"/>
  <c r="CP26" i="4"/>
  <c r="CA26" i="4" a="1"/>
  <c r="CM26" i="4"/>
  <c r="CG26" i="4" a="1"/>
  <c r="BK42" i="4" a="1"/>
  <c r="CF42" i="4" a="1"/>
  <c r="CD42" i="4" a="1"/>
  <c r="CE42" i="4" a="1"/>
  <c r="CP42" i="4"/>
  <c r="BZ42" i="4" a="1"/>
  <c r="CJ42" i="4" a="1"/>
  <c r="CC42" i="4" a="1"/>
  <c r="CA42" i="4" a="1"/>
  <c r="BY42" i="4" a="1"/>
  <c r="CI42" i="4" a="1"/>
  <c r="AJ42" i="4" a="1"/>
  <c r="BM42" i="4" a="1"/>
  <c r="AH42" i="4" a="1"/>
  <c r="CG42" i="4" a="1"/>
  <c r="Z42" i="4" a="1"/>
  <c r="CB42" i="4" a="1"/>
  <c r="AB42" i="4" a="1"/>
  <c r="CH42" i="4" a="1"/>
  <c r="CM42" i="4"/>
  <c r="BZ46" i="4" a="1"/>
  <c r="CJ46" i="4" a="1"/>
  <c r="CF46" i="4" a="1"/>
  <c r="AB46" i="4" a="1"/>
  <c r="CB46" i="4" a="1"/>
  <c r="CH46" i="4" a="1"/>
  <c r="CM46" i="4"/>
  <c r="CE46" i="4" a="1"/>
  <c r="CC46" i="4" a="1"/>
  <c r="AH46" i="4" a="1"/>
  <c r="CG46" i="4" a="1"/>
  <c r="CI46" i="4" a="1"/>
  <c r="CP46" i="4"/>
  <c r="BK46" i="4" a="1"/>
  <c r="BM46" i="4" a="1"/>
  <c r="AJ46" i="4" a="1"/>
  <c r="CD46" i="4" a="1"/>
  <c r="BY46" i="4" a="1"/>
  <c r="CA46" i="4" a="1"/>
  <c r="Z46" i="4" a="1"/>
  <c r="CA75" i="4" a="1"/>
  <c r="CH75" i="4" a="1"/>
  <c r="CI75" i="4" a="1"/>
  <c r="AJ75" i="4" a="1"/>
  <c r="BK75" i="4" a="1"/>
  <c r="CF75" i="4" a="1"/>
  <c r="CG75" i="4" a="1"/>
  <c r="CC75" i="4" a="1"/>
  <c r="CM75" i="4"/>
  <c r="AB75" i="4" a="1"/>
  <c r="CD75" i="4" a="1"/>
  <c r="Z75" i="4" a="1"/>
  <c r="CE75" i="4" a="1"/>
  <c r="BM75" i="4" a="1"/>
  <c r="BY75" i="4" a="1"/>
  <c r="CB75" i="4" a="1"/>
  <c r="AH75" i="4" a="1"/>
  <c r="BZ75" i="4" a="1"/>
  <c r="CP75" i="4"/>
  <c r="CJ75" i="4" a="1"/>
  <c r="CP39" i="4"/>
  <c r="AH39" i="4" a="1"/>
  <c r="CC39" i="4" a="1"/>
  <c r="BZ39" i="4" a="1"/>
  <c r="CH39" i="4" a="1"/>
  <c r="BM39" i="4" a="1"/>
  <c r="AB39" i="4" a="1"/>
  <c r="CA39" i="4" a="1"/>
  <c r="Z39" i="4" a="1"/>
  <c r="AJ39" i="4" a="1"/>
  <c r="CD39" i="4" a="1"/>
  <c r="BK39" i="4" a="1"/>
  <c r="CE39" i="4" a="1"/>
  <c r="CJ39" i="4" a="1"/>
  <c r="BY39" i="4" a="1"/>
  <c r="CG39" i="4" a="1"/>
  <c r="CI39" i="4" a="1"/>
  <c r="CB39" i="4" a="1"/>
  <c r="CM39" i="4"/>
  <c r="CF39" i="4" a="1"/>
  <c r="BG65" i="4" a="1"/>
  <c r="BF65" i="4" a="1"/>
  <c r="BH65" i="4" a="1"/>
  <c r="CJ65" i="4" a="1"/>
  <c r="CA65" i="4" a="1"/>
  <c r="AJ65" i="4" a="1"/>
  <c r="BY65" i="4" a="1"/>
  <c r="AB65" i="4" a="1"/>
  <c r="BZ65" i="4" a="1"/>
  <c r="Z65" i="4" a="1"/>
  <c r="CE65" i="4" a="1"/>
  <c r="CD65" i="4" a="1"/>
  <c r="CC65" i="4" a="1"/>
  <c r="CF65" i="4" a="1"/>
  <c r="AH65" i="4" a="1"/>
  <c r="CG65" i="4" a="1"/>
  <c r="CI65" i="4" a="1"/>
  <c r="CH65" i="4" a="1"/>
  <c r="BM65" i="4" a="1"/>
  <c r="BK65" i="4" a="1"/>
  <c r="CP65" i="4"/>
  <c r="CM65" i="4"/>
  <c r="CB65" i="4" a="1"/>
  <c r="CJ48" i="4" a="1"/>
  <c r="CD48" i="4" a="1"/>
  <c r="BZ48" i="4" a="1"/>
  <c r="CB48" i="4" a="1"/>
  <c r="CC48" i="4" a="1"/>
  <c r="AJ48" i="4" a="1"/>
  <c r="CG48" i="4" a="1"/>
  <c r="BK48" i="4" a="1"/>
  <c r="CP48" i="4"/>
  <c r="CE48" i="4" a="1"/>
  <c r="Z48" i="4" a="1"/>
  <c r="CM48" i="4"/>
  <c r="CI48" i="4" a="1"/>
  <c r="CA48" i="4" a="1"/>
  <c r="AH48" i="4" a="1"/>
  <c r="AB48" i="4" a="1"/>
  <c r="CF48" i="4" a="1"/>
  <c r="CH48" i="4" a="1"/>
  <c r="BY48" i="4" a="1"/>
  <c r="BM48" i="4" a="1"/>
  <c r="CB35" i="4" a="1"/>
  <c r="Z35" i="4" a="1"/>
  <c r="BZ35" i="4" a="1"/>
  <c r="BM35" i="4" a="1"/>
  <c r="CG35" i="4" a="1"/>
  <c r="CF35" i="4" a="1"/>
  <c r="BK35" i="4" a="1"/>
  <c r="CE35" i="4" a="1"/>
  <c r="CP35" i="4"/>
  <c r="CJ35" i="4" a="1"/>
  <c r="CD35" i="4" a="1"/>
  <c r="BY35" i="4" a="1"/>
  <c r="AJ35" i="4" a="1"/>
  <c r="CA35" i="4" a="1"/>
  <c r="AH35" i="4" a="1"/>
  <c r="AB35" i="4" a="1"/>
  <c r="CI35" i="4" a="1"/>
  <c r="CC35" i="4" a="1"/>
  <c r="CM35" i="4"/>
  <c r="CH35" i="4" a="1"/>
  <c r="BY3" i="4" a="1"/>
  <c r="CE3" i="4" a="1"/>
  <c r="CD3" i="4" a="1"/>
  <c r="CC3" i="4" a="1"/>
  <c r="CI3" i="4" a="1"/>
  <c r="BM3" i="4" a="1"/>
  <c r="CB3" i="4" a="1"/>
  <c r="CG3" i="4" a="1"/>
  <c r="AJ3" i="4" a="1"/>
  <c r="AH3" i="4" a="1"/>
  <c r="CF3" i="4" a="1"/>
  <c r="CP3" i="4"/>
  <c r="CJ3" i="4" a="1"/>
  <c r="AB3" i="4" a="1"/>
  <c r="Z3" i="4" a="1"/>
  <c r="CM3" i="4"/>
  <c r="CA3" i="4" a="1"/>
  <c r="BZ3" i="4" a="1"/>
  <c r="BK3" i="4" a="1"/>
  <c r="CH3" i="4" a="1"/>
  <c r="BZ71" i="4" a="1"/>
  <c r="AJ71" i="4" a="1"/>
  <c r="CC71" i="4" a="1"/>
  <c r="CJ71" i="4" a="1"/>
  <c r="CM71" i="4"/>
  <c r="AB71" i="4" a="1"/>
  <c r="CF71" i="4" a="1"/>
  <c r="CI71" i="4" a="1"/>
  <c r="CD71" i="4" a="1"/>
  <c r="CG71" i="4" a="1"/>
  <c r="BY71" i="4" a="1"/>
  <c r="BM71" i="4" a="1"/>
  <c r="CH71" i="4" a="1"/>
  <c r="BK71" i="4" a="1"/>
  <c r="AH71" i="4" a="1"/>
  <c r="Z71" i="4" a="1"/>
  <c r="CB71" i="4" a="1"/>
  <c r="CP71" i="4"/>
  <c r="CA71" i="4" a="1"/>
  <c r="CE71" i="4" a="1"/>
  <c r="CG5" i="4" a="1"/>
  <c r="CF5" i="4" a="1"/>
  <c r="CE5" i="4" a="1"/>
  <c r="CJ5" i="4" a="1"/>
  <c r="AJ5" i="4" a="1"/>
  <c r="AB5" i="4" a="1"/>
  <c r="CB5" i="4" a="1"/>
  <c r="BK5" i="4" a="1"/>
  <c r="CM5" i="4"/>
  <c r="BM5" i="4" a="1"/>
  <c r="CI5" i="4" a="1"/>
  <c r="CP5" i="4"/>
  <c r="CH5" i="4" a="1"/>
  <c r="CD5" i="4" a="1"/>
  <c r="BZ5" i="4" a="1"/>
  <c r="Z5" i="4" a="1"/>
  <c r="AH5" i="4" a="1"/>
  <c r="CA5" i="4" a="1"/>
  <c r="CC5" i="4" a="1"/>
  <c r="BY5" i="4" a="1"/>
  <c r="CM18" i="4"/>
  <c r="CJ18" i="4" a="1"/>
  <c r="CH18" i="4" a="1"/>
  <c r="CE18" i="4" a="1"/>
  <c r="BM18" i="4" a="1"/>
  <c r="AH18" i="4" a="1"/>
  <c r="CI18" i="4" a="1"/>
  <c r="CA18" i="4" a="1"/>
  <c r="BY18" i="4" a="1"/>
  <c r="CB18" i="4" a="1"/>
  <c r="CG18" i="4" a="1"/>
  <c r="CF18" i="4" a="1"/>
  <c r="BK18" i="4" a="1"/>
  <c r="Z18" i="4" a="1"/>
  <c r="AJ18" i="4" a="1"/>
  <c r="AB18" i="4" a="1"/>
  <c r="BZ18" i="4" a="1"/>
  <c r="CC18" i="4" a="1"/>
  <c r="CP18" i="4"/>
  <c r="CD18" i="4" a="1"/>
  <c r="CB15" i="4" a="1"/>
  <c r="CH15" i="4" a="1"/>
  <c r="BK15" i="4" a="1"/>
  <c r="CP15" i="4"/>
  <c r="CG15" i="4" a="1"/>
  <c r="CJ15" i="4" a="1"/>
  <c r="CC15" i="4" a="1"/>
  <c r="CI15" i="4" a="1"/>
  <c r="CE15" i="4" a="1"/>
  <c r="BZ15" i="4" a="1"/>
  <c r="CF15" i="4" a="1"/>
  <c r="CA15" i="4" a="1"/>
  <c r="Z15" i="4" a="1"/>
  <c r="CD15" i="4" a="1"/>
  <c r="BY15" i="4" a="1"/>
  <c r="CM15" i="4"/>
  <c r="AH15" i="4" a="1"/>
  <c r="AJ15" i="4" a="1"/>
  <c r="AB15" i="4" a="1"/>
  <c r="BM15" i="4" a="1"/>
  <c r="AJ7" i="4" a="1"/>
  <c r="CA7" i="4" a="1"/>
  <c r="CF7" i="4" a="1"/>
  <c r="CE7" i="4" a="1"/>
  <c r="CB7" i="4" a="1"/>
  <c r="CD7" i="4" a="1"/>
  <c r="CC7" i="4" a="1"/>
  <c r="AB7" i="4" a="1"/>
  <c r="CM7" i="4"/>
  <c r="BZ7" i="4" a="1"/>
  <c r="AH7" i="4" a="1"/>
  <c r="BM7" i="4" a="1"/>
  <c r="CP7" i="4"/>
  <c r="Z7" i="4" a="1"/>
  <c r="BK7" i="4" a="1"/>
  <c r="CJ7" i="4" a="1"/>
  <c r="CH7" i="4" a="1"/>
  <c r="CG7" i="4" a="1"/>
  <c r="BY7" i="4" a="1"/>
  <c r="CI7" i="4" a="1"/>
  <c r="BZ8" i="4" a="1"/>
  <c r="CM8" i="4"/>
  <c r="AH8" i="4" a="1"/>
  <c r="CH8" i="4" a="1"/>
  <c r="CB8" i="4" a="1"/>
  <c r="AJ8" i="4" a="1"/>
  <c r="CP8" i="4"/>
  <c r="BM8" i="4" a="1"/>
  <c r="BY8" i="4" a="1"/>
  <c r="CD8" i="4" a="1"/>
  <c r="BK8" i="4" a="1"/>
  <c r="AB8" i="4" a="1"/>
  <c r="CJ8" i="4" a="1"/>
  <c r="CE8" i="4" a="1"/>
  <c r="Z8" i="4" a="1"/>
  <c r="CG8" i="4" a="1"/>
  <c r="CF8" i="4" a="1"/>
  <c r="CC8" i="4" a="1"/>
  <c r="CA8" i="4" a="1"/>
  <c r="CI8" i="4" a="1"/>
  <c r="CJ78" i="4" a="1"/>
  <c r="CA78" i="4" a="1"/>
  <c r="AJ78" i="4" a="1"/>
  <c r="Z78" i="4" a="1"/>
  <c r="CM78" i="4"/>
  <c r="CI78" i="4" a="1"/>
  <c r="AB78" i="4" a="1"/>
  <c r="CH78" i="4" a="1"/>
  <c r="AH78" i="4" a="1"/>
  <c r="CB78" i="4" a="1"/>
  <c r="BZ78" i="4" a="1"/>
  <c r="CD78" i="4" a="1"/>
  <c r="CE78" i="4" a="1"/>
  <c r="CG78" i="4" a="1"/>
  <c r="BM78" i="4" a="1"/>
  <c r="BY78" i="4" a="1"/>
  <c r="CP78" i="4"/>
  <c r="CC78" i="4" a="1"/>
  <c r="CF78" i="4" a="1"/>
  <c r="BK78" i="4" a="1"/>
  <c r="BY62" i="4" a="1"/>
  <c r="AH62" i="4" a="1"/>
  <c r="CC62" i="4" a="1"/>
  <c r="CI62" i="4" a="1"/>
  <c r="AB62" i="4" a="1"/>
  <c r="BZ62" i="4" a="1"/>
  <c r="CB62" i="4" a="1"/>
  <c r="CG62" i="4" a="1"/>
  <c r="CE62" i="4" a="1"/>
  <c r="Z62" i="4" a="1"/>
  <c r="CJ62" i="4" a="1"/>
  <c r="CD62" i="4" a="1"/>
  <c r="CA62" i="4" a="1"/>
  <c r="BK62" i="4" a="1"/>
  <c r="CP62" i="4"/>
  <c r="CF62" i="4" a="1"/>
  <c r="CM62" i="4"/>
  <c r="BM62" i="4" a="1"/>
  <c r="CH62" i="4" a="1"/>
  <c r="AJ62" i="4" a="1"/>
  <c r="CB53" i="4" a="1"/>
  <c r="CD53" i="4" a="1"/>
  <c r="CJ53" i="4" a="1"/>
  <c r="BZ53" i="4" a="1"/>
  <c r="CM53" i="4"/>
  <c r="CE53" i="4" a="1"/>
  <c r="CF53" i="4" a="1"/>
  <c r="BM53" i="4" a="1"/>
  <c r="AB53" i="4" a="1"/>
  <c r="AJ53" i="4" a="1"/>
  <c r="CG53" i="4" a="1"/>
  <c r="CA53" i="4" a="1"/>
  <c r="Z53" i="4" a="1"/>
  <c r="CI53" i="4" a="1"/>
  <c r="BK53" i="4" a="1"/>
  <c r="CP53" i="4"/>
  <c r="CH53" i="4" a="1"/>
  <c r="BY53" i="4" a="1"/>
  <c r="AH53" i="4" a="1"/>
  <c r="CC53" i="4" a="1"/>
  <c r="CA90" i="4" a="1"/>
  <c r="BM90" i="4" a="1"/>
  <c r="CG90" i="4" a="1"/>
  <c r="CD90" i="4" a="1"/>
  <c r="CC90" i="4" a="1"/>
  <c r="AJ90" i="4" a="1"/>
  <c r="CE90" i="4" a="1"/>
  <c r="CJ90" i="4" a="1"/>
  <c r="CI90" i="4" a="1"/>
  <c r="CH90" i="4" a="1"/>
  <c r="AH90" i="4" a="1"/>
  <c r="CF90" i="4" a="1"/>
  <c r="CB90" i="4" a="1"/>
  <c r="CM90" i="4"/>
  <c r="AB90" i="4" a="1"/>
  <c r="CP90" i="4"/>
  <c r="Z90" i="4" a="1"/>
  <c r="BY90" i="4" a="1"/>
  <c r="BZ90" i="4" a="1"/>
  <c r="BK90" i="4" a="1"/>
  <c r="BY77" i="4" a="1"/>
  <c r="AJ77" i="4" a="1"/>
  <c r="CC77" i="4" a="1"/>
  <c r="CJ77" i="4" a="1"/>
  <c r="Z77" i="4" a="1"/>
  <c r="CE77" i="4" a="1"/>
  <c r="BK77" i="4" a="1"/>
  <c r="BZ77" i="4" a="1"/>
  <c r="CG77" i="4" a="1"/>
  <c r="AH77" i="4" a="1"/>
  <c r="CF77" i="4" a="1"/>
  <c r="CH77" i="4" a="1"/>
  <c r="CB77" i="4" a="1"/>
  <c r="CI77" i="4" a="1"/>
  <c r="BM77" i="4" a="1"/>
  <c r="CD77" i="4" a="1"/>
  <c r="CP77" i="4"/>
  <c r="CM77" i="4"/>
  <c r="CA77" i="4" a="1"/>
  <c r="AB77" i="4" a="1"/>
  <c r="AJ80" i="4" a="1"/>
  <c r="CI80" i="4" a="1"/>
  <c r="AH80" i="4" a="1"/>
  <c r="Z80" i="4" a="1"/>
  <c r="CD80" i="4" a="1"/>
  <c r="CA80" i="4" a="1"/>
  <c r="CB80" i="4" a="1"/>
  <c r="CM80" i="4"/>
  <c r="BK80" i="4" a="1"/>
  <c r="BM80" i="4" a="1"/>
  <c r="CP80" i="4"/>
  <c r="AB80" i="4" a="1"/>
  <c r="CE80" i="4" a="1"/>
  <c r="CH80" i="4" a="1"/>
  <c r="CG80" i="4" a="1"/>
  <c r="BY80" i="4" a="1"/>
  <c r="CF80" i="4" a="1"/>
  <c r="CJ80" i="4" a="1"/>
  <c r="CC80" i="4" a="1"/>
  <c r="BZ80" i="4" a="1"/>
  <c r="BM11" i="4" a="1"/>
  <c r="CB11" i="4" a="1"/>
  <c r="BY11" i="4" a="1"/>
  <c r="CC11" i="4" a="1"/>
  <c r="BK11" i="4" a="1"/>
  <c r="Z11" i="4" a="1"/>
  <c r="CM11" i="4"/>
  <c r="CG11" i="4" a="1"/>
  <c r="CI11" i="4" a="1"/>
  <c r="BZ11" i="4" a="1"/>
  <c r="CH11" i="4" a="1"/>
  <c r="CD11" i="4" a="1"/>
  <c r="CE11" i="4" a="1"/>
  <c r="CP11" i="4"/>
  <c r="AB11" i="4" a="1"/>
  <c r="AH11" i="4" a="1"/>
  <c r="AJ11" i="4" a="1"/>
  <c r="CA11" i="4" a="1"/>
  <c r="CJ11" i="4" a="1"/>
  <c r="CF11" i="4" a="1"/>
  <c r="CC68" i="4" a="1"/>
  <c r="CA68" i="4" a="1"/>
  <c r="BK68" i="4" a="1"/>
  <c r="CH68" i="4" a="1"/>
  <c r="CD68" i="4" a="1"/>
  <c r="CP68" i="4"/>
  <c r="BY68" i="4" a="1"/>
  <c r="AH68" i="4" a="1"/>
  <c r="CB68" i="4" a="1"/>
  <c r="AB68" i="4" a="1"/>
  <c r="AJ68" i="4" a="1"/>
  <c r="Z68" i="4" a="1"/>
  <c r="CF68" i="4" a="1"/>
  <c r="CJ68" i="4" a="1"/>
  <c r="BM68" i="4" a="1"/>
  <c r="CE68" i="4" a="1"/>
  <c r="CI68" i="4" a="1"/>
  <c r="CG68" i="4" a="1"/>
  <c r="BZ68" i="4" a="1"/>
  <c r="CM68" i="4"/>
  <c r="CG38" i="4" a="1"/>
  <c r="BM38" i="4" a="1"/>
  <c r="BY38" i="4" a="1"/>
  <c r="CF38" i="4" a="1"/>
  <c r="Z38" i="4" a="1"/>
  <c r="AJ38" i="4" a="1"/>
  <c r="CM38" i="4"/>
  <c r="CE38" i="4" a="1"/>
  <c r="CA38" i="4" a="1"/>
  <c r="CP38" i="4"/>
  <c r="BZ38" i="4" a="1"/>
  <c r="CI38" i="4" a="1"/>
  <c r="CD38" i="4" a="1"/>
  <c r="CH38" i="4" a="1"/>
  <c r="BK38" i="4" a="1"/>
  <c r="AB38" i="4" a="1"/>
  <c r="CJ38" i="4" a="1"/>
  <c r="CB38" i="4" a="1"/>
  <c r="CC38" i="4" a="1"/>
  <c r="AH38" i="4" a="1"/>
  <c r="AH40" i="4" a="1"/>
  <c r="Z40" i="4" a="1"/>
  <c r="CA40" i="4" a="1"/>
  <c r="CF40" i="4" a="1"/>
  <c r="BY40" i="4" a="1"/>
  <c r="AB40" i="4" a="1"/>
  <c r="BM40" i="4" a="1"/>
  <c r="CE40" i="4" a="1"/>
  <c r="CC40" i="4" a="1"/>
  <c r="CP40" i="4"/>
  <c r="CJ40" i="4" a="1"/>
  <c r="CG40" i="4" a="1"/>
  <c r="CD40" i="4" a="1"/>
  <c r="CB40" i="4" a="1"/>
  <c r="CM40" i="4"/>
  <c r="AJ40" i="4" a="1"/>
  <c r="CI40" i="4" a="1"/>
  <c r="BZ40" i="4" a="1"/>
  <c r="BK40" i="4" a="1"/>
  <c r="CH40" i="4" a="1"/>
  <c r="CM47" i="4"/>
  <c r="BM47" i="4" a="1"/>
  <c r="CJ47" i="4" a="1"/>
  <c r="AB47" i="4" a="1"/>
  <c r="CE47" i="4" a="1"/>
  <c r="CC47" i="4" a="1"/>
  <c r="Z47" i="4" a="1"/>
  <c r="CD47" i="4" a="1"/>
  <c r="CH47" i="4" a="1"/>
  <c r="BY47" i="4" a="1"/>
  <c r="AH47" i="4" a="1"/>
  <c r="CA47" i="4" a="1"/>
  <c r="BZ47" i="4" a="1"/>
  <c r="CF47" i="4" a="1"/>
  <c r="CG47" i="4" a="1"/>
  <c r="CI47" i="4" a="1"/>
  <c r="BK47" i="4" a="1"/>
  <c r="CP47" i="4"/>
  <c r="CB47" i="4" a="1"/>
  <c r="AJ47" i="4" a="1"/>
  <c r="Z82" i="4" a="1"/>
  <c r="CG82" i="4" a="1"/>
  <c r="BM82" i="4" a="1"/>
  <c r="BZ82" i="4" a="1"/>
  <c r="CJ82" i="4" a="1"/>
  <c r="AH82" i="4" a="1"/>
  <c r="CF82" i="4" a="1"/>
  <c r="CD82" i="4" a="1"/>
  <c r="AJ82" i="4" a="1"/>
  <c r="CC82" i="4" a="1"/>
  <c r="AB82" i="4" a="1"/>
  <c r="BK82" i="4" a="1"/>
  <c r="CB82" i="4" a="1"/>
  <c r="CA82" i="4" a="1"/>
  <c r="CH82" i="4" a="1"/>
  <c r="CM82" i="4"/>
  <c r="CI82" i="4" a="1"/>
  <c r="BY82" i="4" a="1"/>
  <c r="CP82" i="4"/>
  <c r="CE82" i="4" a="1"/>
  <c r="CM33" i="4"/>
  <c r="CP33" i="4"/>
  <c r="CH33" i="4" a="1"/>
  <c r="CG33" i="4" a="1"/>
  <c r="CA33" i="4" a="1"/>
  <c r="AH33" i="4" a="1"/>
  <c r="CI33" i="4" a="1"/>
  <c r="BZ33" i="4" a="1"/>
  <c r="BK33" i="4" a="1"/>
  <c r="CE33" i="4" a="1"/>
  <c r="AJ33" i="4" a="1"/>
  <c r="CC33" i="4" a="1"/>
  <c r="CD33" i="4" a="1"/>
  <c r="Z33" i="4" a="1"/>
  <c r="AB33" i="4" a="1"/>
  <c r="BM33" i="4" a="1"/>
  <c r="CB33" i="4" a="1"/>
  <c r="BY33" i="4" a="1"/>
  <c r="CF33" i="4" a="1"/>
  <c r="CJ33" i="4" a="1"/>
  <c r="BM57" i="4" a="1"/>
  <c r="CM57" i="4"/>
  <c r="CB57" i="4" a="1"/>
  <c r="CI57" i="4" a="1"/>
  <c r="AH57" i="4" a="1"/>
  <c r="Z57" i="4" a="1"/>
  <c r="CJ57" i="4" a="1"/>
  <c r="AB57" i="4" a="1"/>
  <c r="CF57" i="4" a="1"/>
  <c r="CG57" i="4" a="1"/>
  <c r="BY57" i="4" a="1"/>
  <c r="CD57" i="4" a="1"/>
  <c r="CC57" i="4" a="1"/>
  <c r="AJ57" i="4" a="1"/>
  <c r="CH57" i="4" a="1"/>
  <c r="CP57" i="4"/>
  <c r="CA57" i="4" a="1"/>
  <c r="CE57" i="4" a="1"/>
  <c r="BK57" i="4" a="1"/>
  <c r="BZ57" i="4" a="1"/>
  <c r="AH88" i="4" a="1"/>
  <c r="CI88" i="4" a="1"/>
  <c r="CM88" i="4"/>
  <c r="CC88" i="4" a="1"/>
  <c r="CJ88" i="4" a="1"/>
  <c r="BK88" i="4" a="1"/>
  <c r="Z88" i="4" a="1"/>
  <c r="CE88" i="4" a="1"/>
  <c r="CB88" i="4" a="1"/>
  <c r="AJ88" i="4" a="1"/>
  <c r="AB88" i="4" a="1"/>
  <c r="CP88" i="4"/>
  <c r="CD88" i="4" a="1"/>
  <c r="CA88" i="4" a="1"/>
  <c r="CH88" i="4" a="1"/>
  <c r="BZ88" i="4" a="1"/>
  <c r="BY88" i="4" a="1"/>
  <c r="CG88" i="4" a="1"/>
  <c r="BM88" i="4" a="1"/>
  <c r="CF88" i="4" a="1"/>
  <c r="BZ66" i="4" a="1"/>
  <c r="CC66" i="4" a="1"/>
  <c r="CG66" i="4" a="1"/>
  <c r="CP66" i="4"/>
  <c r="BY66" i="4" a="1"/>
  <c r="BM66" i="4" a="1"/>
  <c r="CD66" i="4" a="1"/>
  <c r="CA66" i="4" a="1"/>
  <c r="CF66" i="4" a="1"/>
  <c r="AH66" i="4" a="1"/>
  <c r="AB66" i="4" a="1"/>
  <c r="CH66" i="4" a="1"/>
  <c r="Z66" i="4" a="1"/>
  <c r="CB66" i="4" a="1"/>
  <c r="CE66" i="4" a="1"/>
  <c r="AJ66" i="4" a="1"/>
  <c r="CI66" i="4" a="1"/>
  <c r="CM66" i="4"/>
  <c r="CJ66" i="4" a="1"/>
  <c r="BK66" i="4" a="1"/>
  <c r="BG95" i="4" a="1"/>
  <c r="BF95" i="4" a="1"/>
  <c r="BH95" i="4" a="1"/>
  <c r="BZ25" i="4" a="1"/>
  <c r="CH25" i="4" a="1"/>
  <c r="AB25" i="4" a="1"/>
  <c r="CA25" i="4" a="1"/>
  <c r="BM25" i="4" a="1"/>
  <c r="CD25" i="4" a="1"/>
  <c r="BK25" i="4" a="1"/>
  <c r="AH25" i="4" a="1"/>
  <c r="CP25" i="4"/>
  <c r="BY25" i="4" a="1"/>
  <c r="CG25" i="4" a="1"/>
  <c r="CF25" i="4" a="1"/>
  <c r="AJ25" i="4" a="1"/>
  <c r="CC25" i="4" a="1"/>
  <c r="Z25" i="4" a="1"/>
  <c r="CJ25" i="4" a="1"/>
  <c r="CE25" i="4" a="1"/>
  <c r="CI25" i="4" a="1"/>
  <c r="CB25" i="4" a="1"/>
  <c r="CM25" i="4"/>
  <c r="CG67" i="4" a="1"/>
  <c r="CE67" i="4" a="1"/>
  <c r="CH67" i="4" a="1"/>
  <c r="CP67" i="4"/>
  <c r="CB67" i="4" a="1"/>
  <c r="CD67" i="4" a="1"/>
  <c r="AJ67" i="4" a="1"/>
  <c r="AB67" i="4" a="1"/>
  <c r="BY67" i="4" a="1"/>
  <c r="CJ67" i="4" a="1"/>
  <c r="BM67" i="4" a="1"/>
  <c r="BZ67" i="4" a="1"/>
  <c r="CI67" i="4" a="1"/>
  <c r="AH67" i="4" a="1"/>
  <c r="CM67" i="4"/>
  <c r="Z67" i="4" a="1"/>
  <c r="BK67" i="4" a="1"/>
  <c r="CF67" i="4" a="1"/>
  <c r="CA67" i="4" a="1"/>
  <c r="CC67" i="4" a="1"/>
  <c r="CM16" i="4"/>
  <c r="BK16" i="4" a="1"/>
  <c r="AJ16" i="4" a="1"/>
  <c r="CP16" i="4"/>
  <c r="Z16" i="4" a="1"/>
  <c r="CJ16" i="4" a="1"/>
  <c r="CE16" i="4" a="1"/>
  <c r="CG16" i="4" a="1"/>
  <c r="BZ16" i="4" a="1"/>
  <c r="CD16" i="4" a="1"/>
  <c r="CB16" i="4" a="1"/>
  <c r="CH16" i="4" a="1"/>
  <c r="CF16" i="4" a="1"/>
  <c r="BY16" i="4" a="1"/>
  <c r="AH16" i="4" a="1"/>
  <c r="BM16" i="4" a="1"/>
  <c r="CA16" i="4" a="1"/>
  <c r="AB16" i="4" a="1"/>
  <c r="CI16" i="4" a="1"/>
  <c r="CC16" i="4" a="1"/>
  <c r="AB63" i="4" a="1"/>
  <c r="BM63" i="4" a="1"/>
  <c r="CH63" i="4" a="1"/>
  <c r="CM63" i="4"/>
  <c r="CP63" i="4"/>
  <c r="CB63" i="4" a="1"/>
  <c r="CI63" i="4" a="1"/>
  <c r="BY63" i="4" a="1"/>
  <c r="CD63" i="4" a="1"/>
  <c r="BZ63" i="4" a="1"/>
  <c r="AJ63" i="4" a="1"/>
  <c r="CE63" i="4" a="1"/>
  <c r="AH63" i="4" a="1"/>
  <c r="BK63" i="4" a="1"/>
  <c r="CC63" i="4" a="1"/>
  <c r="CA63" i="4" a="1"/>
  <c r="CF63" i="4" a="1"/>
  <c r="CG63" i="4" a="1"/>
  <c r="CJ63" i="4" a="1"/>
  <c r="Z63" i="4" a="1"/>
  <c r="Z12" i="4" a="1"/>
  <c r="AJ12" i="4" a="1"/>
  <c r="BM12" i="4" a="1"/>
  <c r="CD12" i="4" a="1"/>
  <c r="AB12" i="4" a="1"/>
  <c r="CE12" i="4" a="1"/>
  <c r="CP12" i="4"/>
  <c r="CJ12" i="4" a="1"/>
  <c r="CB12" i="4" a="1"/>
  <c r="AH12" i="4" a="1"/>
  <c r="CM12" i="4"/>
  <c r="CA12" i="4" a="1"/>
  <c r="CI12" i="4" a="1"/>
  <c r="BY12" i="4" a="1"/>
  <c r="CH12" i="4" a="1"/>
  <c r="CF12" i="4" a="1"/>
  <c r="CC12" i="4" a="1"/>
  <c r="BK12" i="4" a="1"/>
  <c r="BZ12" i="4" a="1"/>
  <c r="CG12" i="4" a="1"/>
  <c r="CD13" i="4" a="1"/>
  <c r="CH13" i="4" a="1"/>
  <c r="CA13" i="4" a="1"/>
  <c r="CI13" i="4" a="1"/>
  <c r="CB13" i="4" a="1"/>
  <c r="AH13" i="4" a="1"/>
  <c r="CE13" i="4" a="1"/>
  <c r="CC13" i="4" a="1"/>
  <c r="Z13" i="4" a="1"/>
  <c r="AJ13" i="4" a="1"/>
  <c r="BK13" i="4" a="1"/>
  <c r="BZ13" i="4" a="1"/>
  <c r="AB13" i="4" a="1"/>
  <c r="CJ13" i="4" a="1"/>
  <c r="BM13" i="4" a="1"/>
  <c r="CM13" i="4"/>
  <c r="BY13" i="4" a="1"/>
  <c r="CP13" i="4"/>
  <c r="CF13" i="4" a="1"/>
  <c r="CG13" i="4" a="1"/>
  <c r="Z24" i="4" a="1"/>
  <c r="BY24" i="4" a="1"/>
  <c r="CA24" i="4" a="1"/>
  <c r="CD24" i="4" a="1"/>
  <c r="CJ24" i="4" a="1"/>
  <c r="CM24" i="4"/>
  <c r="CB24" i="4" a="1"/>
  <c r="BM24" i="4" a="1"/>
  <c r="AB24" i="4" a="1"/>
  <c r="CI24" i="4" a="1"/>
  <c r="CC24" i="4" a="1"/>
  <c r="BZ24" i="4" a="1"/>
  <c r="BK24" i="4" a="1"/>
  <c r="AJ24" i="4" a="1"/>
  <c r="CP24" i="4"/>
  <c r="CE24" i="4" a="1"/>
  <c r="AH24" i="4" a="1"/>
  <c r="CH24" i="4" a="1"/>
  <c r="CF24" i="4" a="1"/>
  <c r="CG24" i="4" a="1"/>
  <c r="AJ69" i="4" a="1"/>
  <c r="BZ69" i="4" a="1"/>
  <c r="CP69" i="4"/>
  <c r="Z69" i="4" a="1"/>
  <c r="CI69" i="4" a="1"/>
  <c r="CD69" i="4" a="1"/>
  <c r="BK69" i="4" a="1"/>
  <c r="CA69" i="4" a="1"/>
  <c r="BM69" i="4" a="1"/>
  <c r="CB69" i="4" a="1"/>
  <c r="CE69" i="4" a="1"/>
  <c r="CH69" i="4" a="1"/>
  <c r="CM69" i="4"/>
  <c r="CG69" i="4" a="1"/>
  <c r="BY69" i="4" a="1"/>
  <c r="AB69" i="4" a="1"/>
  <c r="AH69" i="4" a="1"/>
  <c r="CC69" i="4" a="1"/>
  <c r="CF69" i="4" a="1"/>
  <c r="CJ69" i="4" a="1"/>
  <c r="BM51" i="4" a="1"/>
  <c r="CJ51" i="4" a="1"/>
  <c r="AH51" i="4" a="1"/>
  <c r="CP51" i="4"/>
  <c r="CB51" i="4" a="1"/>
  <c r="AJ51" i="4" a="1"/>
  <c r="CG51" i="4" a="1"/>
  <c r="BK51" i="4" a="1"/>
  <c r="CH51" i="4" a="1"/>
  <c r="BZ51" i="4" a="1"/>
  <c r="CE51" i="4" a="1"/>
  <c r="Z51" i="4" a="1"/>
  <c r="CF51" i="4" a="1"/>
  <c r="CD51" i="4" a="1"/>
  <c r="AB51" i="4" a="1"/>
  <c r="CI51" i="4" a="1"/>
  <c r="CA51" i="4" a="1"/>
  <c r="CM51" i="4"/>
  <c r="CC51" i="4" a="1"/>
  <c r="BY51" i="4" a="1"/>
  <c r="CI85" i="4" a="1"/>
  <c r="BY85" i="4" a="1"/>
  <c r="CD85" i="4" a="1"/>
  <c r="CH85" i="4" a="1"/>
  <c r="CP85" i="4"/>
  <c r="CM85" i="4"/>
  <c r="CG85" i="4" a="1"/>
  <c r="AH85" i="4" a="1"/>
  <c r="CA85" i="4" a="1"/>
  <c r="BZ85" i="4" a="1"/>
  <c r="Z85" i="4" a="1"/>
  <c r="AJ85" i="4" a="1"/>
  <c r="CJ85" i="4" a="1"/>
  <c r="CE85" i="4" a="1"/>
  <c r="CC85" i="4" a="1"/>
  <c r="CF85" i="4" a="1"/>
  <c r="BK85" i="4" a="1"/>
  <c r="BM85" i="4" a="1"/>
  <c r="CB85" i="4" a="1"/>
  <c r="AB85" i="4" a="1"/>
  <c r="AB54" i="4" a="1"/>
  <c r="CA54" i="4" a="1"/>
  <c r="BK54" i="4" a="1"/>
  <c r="CJ54" i="4" a="1"/>
  <c r="CE54" i="4" a="1"/>
  <c r="CG54" i="4" a="1"/>
  <c r="CC54" i="4" a="1"/>
  <c r="CM54" i="4"/>
  <c r="Z54" i="4" a="1"/>
  <c r="CI54" i="4" a="1"/>
  <c r="CP54" i="4"/>
  <c r="AH54" i="4" a="1"/>
  <c r="AJ54" i="4" a="1"/>
  <c r="CH54" i="4" a="1"/>
  <c r="CD54" i="4" a="1"/>
  <c r="BM54" i="4" a="1"/>
  <c r="CB54" i="4" a="1"/>
  <c r="CF54" i="4" a="1"/>
  <c r="BZ54" i="4" a="1"/>
  <c r="BY54" i="4" a="1"/>
  <c r="BY28" i="4" a="1"/>
  <c r="CM28" i="4"/>
  <c r="CF28" i="4" a="1"/>
  <c r="CJ28" i="4" a="1"/>
  <c r="BZ28" i="4" a="1"/>
  <c r="CB28" i="4" a="1"/>
  <c r="BK28" i="4" a="1"/>
  <c r="AH28" i="4" a="1"/>
  <c r="CE28" i="4" a="1"/>
  <c r="CI28" i="4" a="1"/>
  <c r="CP28" i="4"/>
  <c r="CC28" i="4" a="1"/>
  <c r="AJ28" i="4" a="1"/>
  <c r="CG28" i="4" a="1"/>
  <c r="Z28" i="4" a="1"/>
  <c r="CA28" i="4" a="1"/>
  <c r="CD28" i="4" a="1"/>
  <c r="CH28" i="4" a="1"/>
  <c r="AB28" i="4" a="1"/>
  <c r="BM28" i="4" a="1"/>
  <c r="CA73" i="4" a="1"/>
  <c r="AH73" i="4" a="1"/>
  <c r="BZ73" i="4" a="1"/>
  <c r="CM73" i="4"/>
  <c r="BK73" i="4" a="1"/>
  <c r="BM73" i="4" a="1"/>
  <c r="CH73" i="4" a="1"/>
  <c r="CG73" i="4" a="1"/>
  <c r="CE73" i="4" a="1"/>
  <c r="CP73" i="4"/>
  <c r="CJ73" i="4" a="1"/>
  <c r="CD73" i="4" a="1"/>
  <c r="CC73" i="4" a="1"/>
  <c r="AJ73" i="4" a="1"/>
  <c r="CF73" i="4" a="1"/>
  <c r="AB73" i="4" a="1"/>
  <c r="BY73" i="4" a="1"/>
  <c r="CI73" i="4" a="1"/>
  <c r="Z73" i="4" a="1"/>
  <c r="CB73" i="4" a="1"/>
  <c r="CP91" i="4"/>
  <c r="AB91" i="4" a="1"/>
  <c r="BM91" i="4" a="1"/>
  <c r="CI91" i="4" a="1"/>
  <c r="CJ91" i="4" a="1"/>
  <c r="BK91" i="4" a="1"/>
  <c r="CG91" i="4" a="1"/>
  <c r="BZ91" i="4" a="1"/>
  <c r="Z91" i="4" a="1"/>
  <c r="CB91" i="4" a="1"/>
  <c r="CD91" i="4" a="1"/>
  <c r="CC91" i="4" a="1"/>
  <c r="CF91" i="4" a="1"/>
  <c r="CM91" i="4"/>
  <c r="AJ91" i="4" a="1"/>
  <c r="CE91" i="4" a="1"/>
  <c r="AH91" i="4" a="1"/>
  <c r="CA91" i="4" a="1"/>
  <c r="BY91" i="4" a="1"/>
  <c r="CH91" i="4" a="1"/>
  <c r="CC89" i="4" a="1"/>
  <c r="BZ89" i="4" a="1"/>
  <c r="CA89" i="4" a="1"/>
  <c r="CM89" i="4"/>
  <c r="Z89" i="4" a="1"/>
  <c r="CF89" i="4" a="1"/>
  <c r="CG89" i="4" a="1"/>
  <c r="CI89" i="4" a="1"/>
  <c r="CE89" i="4" a="1"/>
  <c r="BM89" i="4" a="1"/>
  <c r="AH89" i="4" a="1"/>
  <c r="CJ89" i="4" a="1"/>
  <c r="CH89" i="4" a="1"/>
  <c r="BK89" i="4" a="1"/>
  <c r="CD89" i="4" a="1"/>
  <c r="CP89" i="4"/>
  <c r="CB89" i="4" a="1"/>
  <c r="AJ89" i="4" a="1"/>
  <c r="AB89" i="4" a="1"/>
  <c r="BY89" i="4" a="1"/>
  <c r="CD29" i="4" a="1"/>
  <c r="AB29" i="4" a="1"/>
  <c r="CE29" i="4" a="1"/>
  <c r="BM29" i="4" a="1"/>
  <c r="BY29" i="4" a="1"/>
  <c r="CG29" i="4" a="1"/>
  <c r="CB29" i="4" a="1"/>
  <c r="CA29" i="4" a="1"/>
  <c r="BK29" i="4" a="1"/>
  <c r="AH29" i="4" a="1"/>
  <c r="AJ29" i="4" a="1"/>
  <c r="Z29" i="4" a="1"/>
  <c r="CH29" i="4" a="1"/>
  <c r="BZ29" i="4" a="1"/>
  <c r="CJ29" i="4" a="1"/>
  <c r="CF29" i="4" a="1"/>
  <c r="CC29" i="4" a="1"/>
  <c r="CI29" i="4" a="1"/>
  <c r="CM29" i="4"/>
  <c r="CP29" i="4"/>
  <c r="AJ70" i="4" a="1"/>
  <c r="BZ70" i="4" a="1"/>
  <c r="CI70" i="4" a="1"/>
  <c r="CB70" i="4" a="1"/>
  <c r="CA70" i="4" a="1"/>
  <c r="BM70" i="4" a="1"/>
  <c r="CF70" i="4" a="1"/>
  <c r="CM70" i="4"/>
  <c r="CD70" i="4" a="1"/>
  <c r="CH70" i="4" a="1"/>
  <c r="BY70" i="4" a="1"/>
  <c r="Z70" i="4" a="1"/>
  <c r="CE70" i="4" a="1"/>
  <c r="CG70" i="4" a="1"/>
  <c r="AH70" i="4" a="1"/>
  <c r="BK70" i="4" a="1"/>
  <c r="CJ70" i="4" a="1"/>
  <c r="CP70" i="4"/>
  <c r="CC70" i="4" a="1"/>
  <c r="AB70" i="4" a="1"/>
  <c r="CC17" i="4" a="1"/>
  <c r="CM17" i="4"/>
  <c r="CD17" i="4" a="1"/>
  <c r="BY17" i="4" a="1"/>
  <c r="AH17" i="4" a="1"/>
  <c r="BZ17" i="4" a="1"/>
  <c r="CE17" i="4" a="1"/>
  <c r="AJ17" i="4" a="1"/>
  <c r="BK17" i="4" a="1"/>
  <c r="CH17" i="4" a="1"/>
  <c r="BM17" i="4" a="1"/>
  <c r="CF17" i="4" a="1"/>
  <c r="CI17" i="4" a="1"/>
  <c r="CA17" i="4" a="1"/>
  <c r="CP17" i="4"/>
  <c r="CJ17" i="4" a="1"/>
  <c r="AB17" i="4" a="1"/>
  <c r="Z17" i="4" a="1"/>
  <c r="CG17" i="4" a="1"/>
  <c r="CB17" i="4" a="1"/>
  <c r="BK86" i="4" a="1"/>
  <c r="Z86" i="4" a="1"/>
  <c r="AB86" i="4" a="1"/>
  <c r="CH86" i="4" a="1"/>
  <c r="CC86" i="4" a="1"/>
  <c r="CB86" i="4" a="1"/>
  <c r="CF86" i="4" a="1"/>
  <c r="CG86" i="4" a="1"/>
  <c r="CM86" i="4"/>
  <c r="CI86" i="4" a="1"/>
  <c r="AJ86" i="4" a="1"/>
  <c r="AH86" i="4" a="1"/>
  <c r="CA86" i="4" a="1"/>
  <c r="CP86" i="4"/>
  <c r="CD86" i="4" a="1"/>
  <c r="BZ86" i="4" a="1"/>
  <c r="CJ86" i="4" a="1"/>
  <c r="BY86" i="4" a="1"/>
  <c r="BM86" i="4" a="1"/>
  <c r="CE86" i="4" a="1"/>
  <c r="BM20" i="4" a="1"/>
  <c r="CF20" i="4" a="1"/>
  <c r="CD20" i="4" a="1"/>
  <c r="CG20" i="4" a="1"/>
  <c r="BK20" i="4" a="1"/>
  <c r="CE20" i="4" a="1"/>
  <c r="AJ20" i="4" a="1"/>
  <c r="Z20" i="4" a="1"/>
  <c r="AB20" i="4" a="1"/>
  <c r="CA20" i="4" a="1"/>
  <c r="BY20" i="4" a="1"/>
  <c r="CM20" i="4"/>
  <c r="CJ20" i="4" a="1"/>
  <c r="CC20" i="4" a="1"/>
  <c r="BZ20" i="4" a="1"/>
  <c r="CI20" i="4" a="1"/>
  <c r="CB20" i="4" a="1"/>
  <c r="CP20" i="4"/>
  <c r="CH20" i="4" a="1"/>
  <c r="AH20" i="4" a="1"/>
  <c r="CF30" i="4" a="1"/>
  <c r="CB30" i="4" a="1"/>
  <c r="AH30" i="4" a="1"/>
  <c r="BM30" i="4" a="1"/>
  <c r="AB30" i="4" a="1"/>
  <c r="Z30" i="4" a="1"/>
  <c r="CH30" i="4" a="1"/>
  <c r="CE30" i="4" a="1"/>
  <c r="BK30" i="4" a="1"/>
  <c r="CP30" i="4"/>
  <c r="CJ30" i="4" a="1"/>
  <c r="CM30" i="4"/>
  <c r="BZ30" i="4" a="1"/>
  <c r="CD30" i="4" a="1"/>
  <c r="CG30" i="4" a="1"/>
  <c r="AJ30" i="4" a="1"/>
  <c r="CC30" i="4" a="1"/>
  <c r="CA30" i="4" a="1"/>
  <c r="CI30" i="4" a="1"/>
  <c r="BY30" i="4" a="1"/>
  <c r="CO45" i="4" a="1"/>
  <c r="CN45" i="4" a="1"/>
  <c r="CK45" i="4" a="1"/>
  <c r="CL45" i="4" a="1"/>
  <c r="CK44" i="4" a="1"/>
  <c r="CL44" i="4" a="1"/>
  <c r="CN44" i="4" a="1"/>
  <c r="CO44" i="4" a="1"/>
  <c r="CO79" i="4" a="1"/>
  <c r="CN79" i="4" a="1"/>
  <c r="CK79" i="4" a="1"/>
  <c r="CL79" i="4" a="1"/>
  <c r="CK36" i="4" a="1"/>
  <c r="CL36" i="4" a="1"/>
  <c r="CN36" i="4" a="1"/>
  <c r="CO36" i="4" a="1"/>
  <c r="CL10" i="4" a="1"/>
  <c r="CK10" i="4" a="1"/>
  <c r="CO10" i="4" a="1"/>
  <c r="CN10" i="4" a="1"/>
  <c r="CN6" i="4" a="1"/>
  <c r="CO6" i="4" a="1"/>
  <c r="CK6" i="4" a="1"/>
  <c r="CL6" i="4" a="1"/>
  <c r="CN43" i="4" a="1"/>
  <c r="CO43" i="4" a="1"/>
  <c r="CK43" i="4" a="1"/>
  <c r="CL43" i="4" a="1"/>
  <c r="CN27" i="4" a="1"/>
  <c r="CO27" i="4" a="1"/>
  <c r="CK27" i="4" a="1"/>
  <c r="CL27" i="4" a="1"/>
  <c r="CN32" i="4" a="1"/>
  <c r="CO32" i="4" a="1"/>
  <c r="CL32" i="4" a="1"/>
  <c r="CK32" i="4" a="1"/>
  <c r="CL56" i="4" a="1"/>
  <c r="CK56" i="4" a="1"/>
  <c r="CO56" i="4" a="1"/>
  <c r="CN56" i="4" a="1"/>
  <c r="CN93" i="4" a="1"/>
  <c r="CO93" i="4" a="1"/>
  <c r="CK93" i="4" a="1"/>
  <c r="CL93" i="4" a="1"/>
  <c r="CL37" i="4" a="1"/>
  <c r="CK37" i="4" a="1"/>
  <c r="CN37" i="4" a="1"/>
  <c r="CO37" i="4" a="1"/>
  <c r="CL74" i="4" a="1"/>
  <c r="CK74" i="4" a="1"/>
  <c r="CO74" i="4" a="1"/>
  <c r="CN74" i="4" a="1"/>
  <c r="CK83" i="4" a="1"/>
  <c r="CL83" i="4" a="1"/>
  <c r="CN83" i="4" a="1"/>
  <c r="CO83" i="4" a="1"/>
  <c r="CO34" i="4" a="1"/>
  <c r="CN34" i="4" a="1"/>
  <c r="CK34" i="4" a="1"/>
  <c r="CL34" i="4" a="1"/>
  <c r="CO84" i="4" a="1"/>
  <c r="CN84" i="4" a="1"/>
  <c r="CK84" i="4" a="1"/>
  <c r="CL84" i="4" a="1"/>
  <c r="CL76" i="4" a="1"/>
  <c r="CK76" i="4" a="1"/>
  <c r="CO76" i="4" a="1"/>
  <c r="CN76" i="4" a="1"/>
  <c r="CO87" i="4" a="1"/>
  <c r="CN87" i="4" a="1"/>
  <c r="CK87" i="4" a="1"/>
  <c r="CL87" i="4" a="1"/>
  <c r="CK49" i="4" a="1"/>
  <c r="CL49" i="4" a="1"/>
  <c r="CO49" i="4" a="1"/>
  <c r="CN49" i="4" a="1"/>
  <c r="CN61" i="4" a="1"/>
  <c r="CO61" i="4" a="1"/>
  <c r="CK61" i="4" a="1"/>
  <c r="CL61" i="4" a="1"/>
  <c r="CO50" i="4" a="1"/>
  <c r="CN50" i="4" a="1"/>
  <c r="CL50" i="4" a="1"/>
  <c r="CK50" i="4" a="1"/>
  <c r="CK31" i="4" a="1"/>
  <c r="CL31" i="4" a="1"/>
  <c r="CO31" i="4" a="1"/>
  <c r="CN31" i="4" a="1"/>
  <c r="CN92" i="4" a="1"/>
  <c r="CO92" i="4" a="1"/>
  <c r="CK92" i="4" a="1"/>
  <c r="CL92" i="4" a="1"/>
  <c r="CK81" i="4" a="1"/>
  <c r="CL81" i="4" a="1"/>
  <c r="CO81" i="4" a="1"/>
  <c r="CN81" i="4" a="1"/>
  <c r="CK22" i="4" a="1"/>
  <c r="CL22" i="4" a="1"/>
  <c r="CO22" i="4" a="1"/>
  <c r="CN22" i="4" a="1"/>
  <c r="CL64" i="4" a="1"/>
  <c r="CK64" i="4" a="1"/>
  <c r="CN64" i="4" a="1"/>
  <c r="CO64" i="4" a="1"/>
  <c r="CO19" i="4" a="1"/>
  <c r="CN19" i="4" a="1"/>
  <c r="CK19" i="4" a="1"/>
  <c r="CL19" i="4" a="1"/>
  <c r="CK14" i="4" a="1"/>
  <c r="CL14" i="4" a="1"/>
  <c r="CN14" i="4" a="1"/>
  <c r="CO14" i="4" a="1"/>
  <c r="CK9" i="4" a="1"/>
  <c r="CL9" i="4" a="1"/>
  <c r="CN9" i="4" a="1"/>
  <c r="CO9" i="4" a="1"/>
  <c r="CN41" i="4" a="1"/>
  <c r="CO41" i="4" a="1"/>
  <c r="CL41" i="4" a="1"/>
  <c r="CK41" i="4" a="1"/>
  <c r="CK59" i="4" a="1"/>
  <c r="CL59" i="4" a="1"/>
  <c r="CO59" i="4" a="1"/>
  <c r="CN59" i="4" a="1"/>
  <c r="CN23" i="4" a="1"/>
  <c r="CO23" i="4" a="1"/>
  <c r="CK23" i="4" a="1"/>
  <c r="CL23" i="4" a="1"/>
  <c r="CK72" i="4" a="1"/>
  <c r="CL72" i="4" a="1"/>
  <c r="CO72" i="4" a="1"/>
  <c r="CN72" i="4" a="1"/>
  <c r="CO52" i="4" a="1"/>
  <c r="CN52" i="4" a="1"/>
  <c r="CL52" i="4" a="1"/>
  <c r="CK52" i="4" a="1"/>
  <c r="CN26" i="4" a="1"/>
  <c r="CO26" i="4" a="1"/>
  <c r="CL26" i="4" a="1"/>
  <c r="CK26" i="4" a="1"/>
  <c r="CO42" i="4" a="1"/>
  <c r="CN42" i="4" a="1"/>
  <c r="CL42" i="4" a="1"/>
  <c r="CK42" i="4" a="1"/>
  <c r="CK46" i="4" a="1"/>
  <c r="CL46" i="4" a="1"/>
  <c r="CN46" i="4" a="1"/>
  <c r="CO46" i="4" a="1"/>
  <c r="CK75" i="4" a="1"/>
  <c r="CL75" i="4" a="1"/>
  <c r="CO75" i="4" a="1"/>
  <c r="CN75" i="4" a="1"/>
  <c r="CN39" i="4" a="1"/>
  <c r="CO39" i="4" a="1"/>
  <c r="CK39" i="4" a="1"/>
  <c r="CL39" i="4" a="1"/>
  <c r="CO65" i="4" a="1"/>
  <c r="CN65" i="4" a="1"/>
  <c r="CL65" i="4" a="1"/>
  <c r="CK65" i="4" a="1"/>
  <c r="CO48" i="4" a="1"/>
  <c r="CN48" i="4" a="1"/>
  <c r="CK48" i="4" a="1"/>
  <c r="CL48" i="4" a="1"/>
  <c r="CN35" i="4" a="1"/>
  <c r="CO35" i="4" a="1"/>
  <c r="CK35" i="4" a="1"/>
  <c r="CL35" i="4" a="1"/>
  <c r="CN3" i="4" a="1"/>
  <c r="CO3" i="4" a="1"/>
  <c r="CL3" i="4" a="1"/>
  <c r="CK3" i="4" a="1"/>
  <c r="CK71" i="4" a="1"/>
  <c r="CL71" i="4" a="1"/>
  <c r="CO71" i="4" a="1"/>
  <c r="CN71" i="4" a="1"/>
  <c r="CK5" i="4" a="1"/>
  <c r="CL5" i="4" a="1"/>
  <c r="CO5" i="4" a="1"/>
  <c r="CN5" i="4" a="1"/>
  <c r="CL18" i="4" a="1"/>
  <c r="CK18" i="4" a="1"/>
  <c r="CN18" i="4" a="1"/>
  <c r="CO18" i="4" a="1"/>
  <c r="CO15" i="4" a="1"/>
  <c r="CN15" i="4" a="1"/>
  <c r="CK15" i="4" a="1"/>
  <c r="CL15" i="4" a="1"/>
  <c r="CL7" i="4" a="1"/>
  <c r="CK7" i="4" a="1"/>
  <c r="CN7" i="4" a="1"/>
  <c r="CO7" i="4" a="1"/>
  <c r="CL8" i="4" a="1"/>
  <c r="CK8" i="4" a="1"/>
  <c r="CN8" i="4" a="1"/>
  <c r="CO8" i="4" a="1"/>
  <c r="CL78" i="4" a="1"/>
  <c r="CK78" i="4" a="1"/>
  <c r="CN78" i="4" a="1"/>
  <c r="CO78" i="4" a="1"/>
  <c r="CO62" i="4" a="1"/>
  <c r="CN62" i="4" a="1"/>
  <c r="CL62" i="4" a="1"/>
  <c r="CK62" i="4" a="1"/>
  <c r="CL53" i="4" a="1"/>
  <c r="CK53" i="4" a="1"/>
  <c r="CN53" i="4" a="1"/>
  <c r="CO53" i="4" a="1"/>
  <c r="CL90" i="4" a="1"/>
  <c r="CK90" i="4" a="1"/>
  <c r="CN90" i="4" a="1"/>
  <c r="CO90" i="4" a="1"/>
  <c r="CN77" i="4" a="1"/>
  <c r="CO77" i="4" a="1"/>
  <c r="CL77" i="4" a="1"/>
  <c r="CK77" i="4" a="1"/>
  <c r="CK80" i="4" a="1"/>
  <c r="CL80" i="4" a="1"/>
  <c r="CO80" i="4" a="1"/>
  <c r="CN80" i="4" a="1"/>
  <c r="CL11" i="4" a="1"/>
  <c r="CK11" i="4" a="1"/>
  <c r="CO11" i="4" a="1"/>
  <c r="CN11" i="4" a="1"/>
  <c r="CO68" i="4" a="1"/>
  <c r="CN68" i="4" a="1"/>
  <c r="CL68" i="4" a="1"/>
  <c r="CK68" i="4" a="1"/>
  <c r="CL38" i="4" a="1"/>
  <c r="CK38" i="4" a="1"/>
  <c r="CN38" i="4" a="1"/>
  <c r="CO38" i="4" a="1"/>
  <c r="CN40" i="4" a="1"/>
  <c r="CO40" i="4" a="1"/>
  <c r="CL40" i="4" a="1"/>
  <c r="CK40" i="4" a="1"/>
  <c r="CL47" i="4" a="1"/>
  <c r="CK47" i="4" a="1"/>
  <c r="CO47" i="4" a="1"/>
  <c r="CN47" i="4" a="1"/>
  <c r="CL82" i="4" a="1"/>
  <c r="CK82" i="4" a="1"/>
  <c r="CN82" i="4" a="1"/>
  <c r="CO82" i="4" a="1"/>
  <c r="CK33" i="4" a="1"/>
  <c r="CL33" i="4" a="1"/>
  <c r="CO33" i="4" a="1"/>
  <c r="CN33" i="4" a="1"/>
  <c r="CL57" i="4" a="1"/>
  <c r="CK57" i="4" a="1"/>
  <c r="CN57" i="4" a="1"/>
  <c r="CO57" i="4" a="1"/>
  <c r="CK88" i="4" a="1"/>
  <c r="CL88" i="4" a="1"/>
  <c r="CN88" i="4" a="1"/>
  <c r="CO88" i="4" a="1"/>
  <c r="CO66" i="4" a="1"/>
  <c r="CN66" i="4" a="1"/>
  <c r="CL66" i="4" a="1"/>
  <c r="CK66" i="4" a="1"/>
  <c r="CO25" i="4" a="1"/>
  <c r="CN25" i="4" a="1"/>
  <c r="CL25" i="4" a="1"/>
  <c r="CK25" i="4" a="1"/>
  <c r="CN67" i="4" a="1"/>
  <c r="CO67" i="4" a="1"/>
  <c r="CL67" i="4" a="1"/>
  <c r="CK67" i="4" a="1"/>
  <c r="CK16" i="4" a="1"/>
  <c r="CL16" i="4" a="1"/>
  <c r="CO16" i="4" a="1"/>
  <c r="CN16" i="4" a="1"/>
  <c r="CK63" i="4" a="1"/>
  <c r="CL63" i="4" a="1"/>
  <c r="CN63" i="4" a="1"/>
  <c r="CO63" i="4" a="1"/>
  <c r="CO12" i="4" a="1"/>
  <c r="CN12" i="4" a="1"/>
  <c r="CL12" i="4" a="1"/>
  <c r="CK12" i="4" a="1"/>
  <c r="CL13" i="4" a="1"/>
  <c r="CK13" i="4" a="1"/>
  <c r="CO13" i="4" a="1"/>
  <c r="CN13" i="4" a="1"/>
  <c r="CL24" i="4" a="1"/>
  <c r="CK24" i="4" a="1"/>
  <c r="CO24" i="4" a="1"/>
  <c r="CN24" i="4" a="1"/>
  <c r="CO69" i="4" a="1"/>
  <c r="CN69" i="4" a="1"/>
  <c r="CL69" i="4" a="1"/>
  <c r="CK69" i="4" a="1"/>
  <c r="CN51" i="4" a="1"/>
  <c r="CO51" i="4" a="1"/>
  <c r="CK51" i="4" a="1"/>
  <c r="CL51" i="4" a="1"/>
  <c r="CO85" i="4" a="1"/>
  <c r="CN85" i="4" a="1"/>
  <c r="CK85" i="4" a="1"/>
  <c r="CL85" i="4" a="1"/>
  <c r="CK54" i="4" a="1"/>
  <c r="CL54" i="4" a="1"/>
  <c r="CO54" i="4" a="1"/>
  <c r="CN54" i="4" a="1"/>
  <c r="CL28" i="4" a="1"/>
  <c r="CK28" i="4" a="1"/>
  <c r="CN28" i="4" a="1"/>
  <c r="CO28" i="4" a="1"/>
  <c r="CK73" i="4" a="1"/>
  <c r="CL73" i="4" a="1"/>
  <c r="CO73" i="4" a="1"/>
  <c r="CN73" i="4" a="1"/>
  <c r="CN91" i="4" a="1"/>
  <c r="CO91" i="4" a="1"/>
  <c r="CL91" i="4" a="1"/>
  <c r="CK91" i="4" a="1"/>
  <c r="CL89" i="4" a="1"/>
  <c r="CK89" i="4" a="1"/>
  <c r="CO89" i="4" a="1"/>
  <c r="CN89" i="4" a="1"/>
  <c r="CL29" i="4" a="1"/>
  <c r="CK29" i="4" a="1"/>
  <c r="CO29" i="4" a="1"/>
  <c r="CN29" i="4" a="1"/>
  <c r="CL70" i="4" a="1"/>
  <c r="CK70" i="4" a="1"/>
  <c r="CO70" i="4" a="1"/>
  <c r="CN70" i="4" a="1"/>
  <c r="CK17" i="4" a="1"/>
  <c r="CL17" i="4" a="1"/>
  <c r="CO17" i="4" a="1"/>
  <c r="CN17" i="4" a="1"/>
  <c r="CK86" i="4" a="1"/>
  <c r="CL86" i="4" a="1"/>
  <c r="CN86" i="4" a="1"/>
  <c r="CO86" i="4" a="1"/>
  <c r="CK20" i="4" a="1"/>
  <c r="CL20" i="4" a="1"/>
  <c r="CO20" i="4" a="1"/>
  <c r="CN20" i="4" a="1"/>
  <c r="CN30" i="4" a="1"/>
  <c r="CO30" i="4" a="1"/>
  <c r="CL30" i="4" a="1"/>
  <c r="CK30" i="4" a="1"/>
  <c r="BD1736" i="13" l="1" a="1"/>
  <c r="BD1736" i="13" s="1"/>
  <c r="BE1736" i="13" s="1"/>
  <c r="AY95" i="4"/>
  <c r="AV196" i="13" s="1"/>
  <c r="CK30" i="4"/>
  <c r="CL30" i="4"/>
  <c r="CO30" i="4"/>
  <c r="CN30" i="4"/>
  <c r="CN20" i="4"/>
  <c r="CO20" i="4"/>
  <c r="CL20" i="4"/>
  <c r="CK20" i="4"/>
  <c r="CO86" i="4"/>
  <c r="CN86" i="4"/>
  <c r="CL86" i="4"/>
  <c r="CK86" i="4"/>
  <c r="CN17" i="4"/>
  <c r="CO17" i="4"/>
  <c r="CL17" i="4"/>
  <c r="CK17" i="4"/>
  <c r="CN70" i="4"/>
  <c r="CO70" i="4"/>
  <c r="CK70" i="4"/>
  <c r="CL70" i="4"/>
  <c r="CN29" i="4"/>
  <c r="CO29" i="4"/>
  <c r="CK29" i="4"/>
  <c r="CL29" i="4"/>
  <c r="CN89" i="4"/>
  <c r="CO89" i="4"/>
  <c r="CK89" i="4"/>
  <c r="CL89" i="4"/>
  <c r="CK91" i="4"/>
  <c r="CL91" i="4"/>
  <c r="CO91" i="4"/>
  <c r="CN91" i="4"/>
  <c r="CN73" i="4"/>
  <c r="CO73" i="4"/>
  <c r="CL73" i="4"/>
  <c r="CK73" i="4"/>
  <c r="CO28" i="4"/>
  <c r="CN28" i="4"/>
  <c r="CK28" i="4"/>
  <c r="CL28" i="4"/>
  <c r="CN54" i="4"/>
  <c r="CO54" i="4"/>
  <c r="CL54" i="4"/>
  <c r="CK54" i="4"/>
  <c r="CL85" i="4"/>
  <c r="CK85" i="4"/>
  <c r="CN85" i="4"/>
  <c r="CO85" i="4"/>
  <c r="CL51" i="4"/>
  <c r="CK51" i="4"/>
  <c r="CO51" i="4"/>
  <c r="CN51" i="4"/>
  <c r="CK69" i="4"/>
  <c r="CL69" i="4"/>
  <c r="CN69" i="4"/>
  <c r="CO69" i="4"/>
  <c r="CN24" i="4"/>
  <c r="CO24" i="4"/>
  <c r="CK24" i="4"/>
  <c r="CL24" i="4"/>
  <c r="CN13" i="4"/>
  <c r="CO13" i="4"/>
  <c r="CK13" i="4"/>
  <c r="CL13" i="4"/>
  <c r="CK12" i="4"/>
  <c r="CL12" i="4"/>
  <c r="CN12" i="4"/>
  <c r="CO12" i="4"/>
  <c r="CO63" i="4"/>
  <c r="CN63" i="4"/>
  <c r="CL63" i="4"/>
  <c r="CK63" i="4"/>
  <c r="CN16" i="4"/>
  <c r="CO16" i="4"/>
  <c r="CL16" i="4"/>
  <c r="CK16" i="4"/>
  <c r="CK67" i="4"/>
  <c r="CL67" i="4"/>
  <c r="CO67" i="4"/>
  <c r="CN67" i="4"/>
  <c r="CK25" i="4"/>
  <c r="CL25" i="4"/>
  <c r="CN25" i="4"/>
  <c r="CO25" i="4"/>
  <c r="CK66" i="4"/>
  <c r="CL66" i="4"/>
  <c r="CN66" i="4"/>
  <c r="CO66" i="4"/>
  <c r="CO88" i="4"/>
  <c r="CN88" i="4"/>
  <c r="CL88" i="4"/>
  <c r="CK88" i="4"/>
  <c r="CO57" i="4"/>
  <c r="CN57" i="4"/>
  <c r="CK57" i="4"/>
  <c r="CL57" i="4"/>
  <c r="CN33" i="4"/>
  <c r="CO33" i="4"/>
  <c r="CL33" i="4"/>
  <c r="CK33" i="4"/>
  <c r="CO82" i="4"/>
  <c r="CN82" i="4"/>
  <c r="CK82" i="4"/>
  <c r="CL82" i="4"/>
  <c r="CN47" i="4"/>
  <c r="CO47" i="4"/>
  <c r="CK47" i="4"/>
  <c r="CL47" i="4"/>
  <c r="CK40" i="4"/>
  <c r="CL40" i="4"/>
  <c r="CO40" i="4"/>
  <c r="CN40" i="4"/>
  <c r="CO38" i="4"/>
  <c r="CN38" i="4"/>
  <c r="CK38" i="4"/>
  <c r="CL38" i="4"/>
  <c r="CK68" i="4"/>
  <c r="CL68" i="4"/>
  <c r="CN68" i="4"/>
  <c r="CO68" i="4"/>
  <c r="CN11" i="4"/>
  <c r="CO11" i="4"/>
  <c r="CK11" i="4"/>
  <c r="CL11" i="4"/>
  <c r="CN80" i="4"/>
  <c r="CO80" i="4"/>
  <c r="CL80" i="4"/>
  <c r="CK80" i="4"/>
  <c r="CK77" i="4"/>
  <c r="CL77" i="4"/>
  <c r="CO77" i="4"/>
  <c r="CN77" i="4"/>
  <c r="CO90" i="4"/>
  <c r="CN90" i="4"/>
  <c r="CK90" i="4"/>
  <c r="CL90" i="4"/>
  <c r="CO53" i="4"/>
  <c r="CN53" i="4"/>
  <c r="CK53" i="4"/>
  <c r="CL53" i="4"/>
  <c r="CK62" i="4"/>
  <c r="CL62" i="4"/>
  <c r="CN62" i="4"/>
  <c r="CO62" i="4"/>
  <c r="CO78" i="4"/>
  <c r="CN78" i="4"/>
  <c r="CK78" i="4"/>
  <c r="CL78" i="4"/>
  <c r="CO8" i="4"/>
  <c r="CN8" i="4"/>
  <c r="CK8" i="4"/>
  <c r="CL8" i="4"/>
  <c r="CO7" i="4"/>
  <c r="CN7" i="4"/>
  <c r="CK7" i="4"/>
  <c r="CL7" i="4"/>
  <c r="CL15" i="4"/>
  <c r="CK15" i="4"/>
  <c r="CN15" i="4"/>
  <c r="CO15" i="4"/>
  <c r="CO18" i="4"/>
  <c r="CN18" i="4"/>
  <c r="CK18" i="4"/>
  <c r="CL18" i="4"/>
  <c r="CN5" i="4"/>
  <c r="CO5" i="4"/>
  <c r="CL5" i="4"/>
  <c r="CK5" i="4"/>
  <c r="CN71" i="4"/>
  <c r="CO71" i="4"/>
  <c r="CL71" i="4"/>
  <c r="CK71" i="4"/>
  <c r="CK3" i="4"/>
  <c r="CL3" i="4"/>
  <c r="CO3" i="4"/>
  <c r="CN3" i="4"/>
  <c r="CL35" i="4"/>
  <c r="CK35" i="4"/>
  <c r="CO35" i="4"/>
  <c r="CN35" i="4"/>
  <c r="CL48" i="4"/>
  <c r="CK48" i="4"/>
  <c r="CN48" i="4"/>
  <c r="CO48" i="4"/>
  <c r="CK65" i="4"/>
  <c r="CL65" i="4"/>
  <c r="CN65" i="4"/>
  <c r="CO65" i="4"/>
  <c r="CL39" i="4"/>
  <c r="CK39" i="4"/>
  <c r="CO39" i="4"/>
  <c r="CN39" i="4"/>
  <c r="CN75" i="4"/>
  <c r="CO75" i="4"/>
  <c r="CL75" i="4"/>
  <c r="CK75" i="4"/>
  <c r="CO46" i="4"/>
  <c r="CN46" i="4"/>
  <c r="CL46" i="4"/>
  <c r="CK46" i="4"/>
  <c r="CK42" i="4"/>
  <c r="CL42" i="4"/>
  <c r="CN42" i="4"/>
  <c r="CO42" i="4"/>
  <c r="CK26" i="4"/>
  <c r="CL26" i="4"/>
  <c r="CO26" i="4"/>
  <c r="CN26" i="4"/>
  <c r="CK52" i="4"/>
  <c r="CL52" i="4"/>
  <c r="CN52" i="4"/>
  <c r="CO52" i="4"/>
  <c r="CN72" i="4"/>
  <c r="CO72" i="4"/>
  <c r="CL72" i="4"/>
  <c r="CK72" i="4"/>
  <c r="CL23" i="4"/>
  <c r="CK23" i="4"/>
  <c r="CO23" i="4"/>
  <c r="CN23" i="4"/>
  <c r="CN59" i="4"/>
  <c r="CO59" i="4"/>
  <c r="CL59" i="4"/>
  <c r="CK59" i="4"/>
  <c r="CK41" i="4"/>
  <c r="CL41" i="4"/>
  <c r="CO41" i="4"/>
  <c r="CN41" i="4"/>
  <c r="CO9" i="4"/>
  <c r="CN9" i="4"/>
  <c r="CL9" i="4"/>
  <c r="CK9" i="4"/>
  <c r="CO14" i="4"/>
  <c r="CN14" i="4"/>
  <c r="CL14" i="4"/>
  <c r="CK14" i="4"/>
  <c r="CL19" i="4"/>
  <c r="CK19" i="4"/>
  <c r="CN19" i="4"/>
  <c r="CO19" i="4"/>
  <c r="CO64" i="4"/>
  <c r="CN64" i="4"/>
  <c r="CK64" i="4"/>
  <c r="CL64" i="4"/>
  <c r="CN22" i="4"/>
  <c r="CO22" i="4"/>
  <c r="CL22" i="4"/>
  <c r="CK22" i="4"/>
  <c r="CN81" i="4"/>
  <c r="CO81" i="4"/>
  <c r="CL81" i="4"/>
  <c r="CK81" i="4"/>
  <c r="CL92" i="4"/>
  <c r="CK92" i="4"/>
  <c r="CO92" i="4"/>
  <c r="CN92" i="4"/>
  <c r="CN31" i="4"/>
  <c r="CO31" i="4"/>
  <c r="CL31" i="4"/>
  <c r="CK31" i="4"/>
  <c r="CK50" i="4"/>
  <c r="CL50" i="4"/>
  <c r="CN50" i="4"/>
  <c r="CO50" i="4"/>
  <c r="CL61" i="4"/>
  <c r="CK61" i="4"/>
  <c r="CO61" i="4"/>
  <c r="CN61" i="4"/>
  <c r="CN49" i="4"/>
  <c r="CO49" i="4"/>
  <c r="CL49" i="4"/>
  <c r="CK49" i="4"/>
  <c r="CL87" i="4"/>
  <c r="CK87" i="4"/>
  <c r="CN87" i="4"/>
  <c r="CO87" i="4"/>
  <c r="CN76" i="4"/>
  <c r="CO76" i="4"/>
  <c r="CK76" i="4"/>
  <c r="CL76" i="4"/>
  <c r="CL84" i="4"/>
  <c r="CK84" i="4"/>
  <c r="CN84" i="4"/>
  <c r="CO84" i="4"/>
  <c r="CL34" i="4"/>
  <c r="CK34" i="4"/>
  <c r="CN34" i="4"/>
  <c r="CO34" i="4"/>
  <c r="CO83" i="4"/>
  <c r="CN83" i="4"/>
  <c r="CL83" i="4"/>
  <c r="CK83" i="4"/>
  <c r="CN74" i="4"/>
  <c r="CO74" i="4"/>
  <c r="CK74" i="4"/>
  <c r="CL74" i="4"/>
  <c r="CO37" i="4"/>
  <c r="CN37" i="4"/>
  <c r="CK37" i="4"/>
  <c r="CL37" i="4"/>
  <c r="CL93" i="4"/>
  <c r="CK93" i="4"/>
  <c r="CO93" i="4"/>
  <c r="CN93" i="4"/>
  <c r="CN56" i="4"/>
  <c r="CO56" i="4"/>
  <c r="CK56" i="4"/>
  <c r="CL56" i="4"/>
  <c r="CK32" i="4"/>
  <c r="CL32" i="4"/>
  <c r="CO32" i="4"/>
  <c r="CN32" i="4"/>
  <c r="CL27" i="4"/>
  <c r="CK27" i="4"/>
  <c r="CO27" i="4"/>
  <c r="CN27" i="4"/>
  <c r="CL43" i="4"/>
  <c r="CK43" i="4"/>
  <c r="CO43" i="4"/>
  <c r="CN43" i="4"/>
  <c r="CL6" i="4"/>
  <c r="CK6" i="4"/>
  <c r="CO6" i="4"/>
  <c r="CN6" i="4"/>
  <c r="CN10" i="4"/>
  <c r="CO10" i="4"/>
  <c r="CK10" i="4"/>
  <c r="CL10" i="4"/>
  <c r="CO36" i="4"/>
  <c r="CN36" i="4"/>
  <c r="CL36" i="4"/>
  <c r="CK36" i="4"/>
  <c r="CL79" i="4"/>
  <c r="CK79" i="4"/>
  <c r="CN79" i="4"/>
  <c r="CO79" i="4"/>
  <c r="CO44" i="4"/>
  <c r="CN44" i="4"/>
  <c r="CL44" i="4"/>
  <c r="CK44" i="4"/>
  <c r="CL45" i="4"/>
  <c r="CK45" i="4"/>
  <c r="CN45" i="4"/>
  <c r="CO45" i="4"/>
  <c r="BY30" i="4"/>
  <c r="CI30" i="4"/>
  <c r="CA30" i="4"/>
  <c r="CC30" i="4"/>
  <c r="AJ30" i="4"/>
  <c r="CG30" i="4"/>
  <c r="CD30" i="4"/>
  <c r="BZ30" i="4"/>
  <c r="CJ30" i="4"/>
  <c r="BK30" i="4"/>
  <c r="CE30" i="4"/>
  <c r="CH30" i="4"/>
  <c r="Z30" i="4"/>
  <c r="AB30" i="4"/>
  <c r="BM30" i="4"/>
  <c r="AH30" i="4"/>
  <c r="CB30" i="4"/>
  <c r="CF30" i="4"/>
  <c r="AH20" i="4"/>
  <c r="CQ20" i="4" s="1"/>
  <c r="CR20" i="4" s="1"/>
  <c r="CH20" i="4"/>
  <c r="CB20" i="4"/>
  <c r="CI20" i="4"/>
  <c r="BZ20" i="4"/>
  <c r="CC20" i="4"/>
  <c r="CJ20" i="4"/>
  <c r="BY20" i="4"/>
  <c r="CA20" i="4"/>
  <c r="AB20" i="4"/>
  <c r="Z20" i="4"/>
  <c r="AJ20" i="4"/>
  <c r="CE20" i="4"/>
  <c r="BK20" i="4"/>
  <c r="CG20" i="4"/>
  <c r="CD20" i="4"/>
  <c r="CF20" i="4"/>
  <c r="BM20" i="4"/>
  <c r="CE86" i="4"/>
  <c r="BM86" i="4"/>
  <c r="BY86" i="4"/>
  <c r="CJ86" i="4"/>
  <c r="BZ86" i="4"/>
  <c r="CD86" i="4"/>
  <c r="CA86" i="4"/>
  <c r="AH86" i="4"/>
  <c r="AJ86" i="4"/>
  <c r="CI86" i="4"/>
  <c r="CG86" i="4"/>
  <c r="CF86" i="4"/>
  <c r="CB86" i="4"/>
  <c r="CC86" i="4"/>
  <c r="CH86" i="4"/>
  <c r="AB86" i="4"/>
  <c r="Z86" i="4"/>
  <c r="BK86" i="4"/>
  <c r="CB17" i="4"/>
  <c r="CG17" i="4"/>
  <c r="Z17" i="4"/>
  <c r="AB17" i="4"/>
  <c r="CJ17" i="4"/>
  <c r="CA17" i="4"/>
  <c r="CI17" i="4"/>
  <c r="CF17" i="4"/>
  <c r="BM17" i="4"/>
  <c r="CH17" i="4"/>
  <c r="BK17" i="4"/>
  <c r="AJ17" i="4"/>
  <c r="CE17" i="4"/>
  <c r="BZ17" i="4"/>
  <c r="AH17" i="4"/>
  <c r="AU17" i="69" s="1"/>
  <c r="BY17" i="4"/>
  <c r="CD17" i="4"/>
  <c r="CC17" i="4"/>
  <c r="AB70" i="4"/>
  <c r="CC70" i="4"/>
  <c r="CJ70" i="4"/>
  <c r="BK70" i="4"/>
  <c r="AH70" i="4"/>
  <c r="CG70" i="4"/>
  <c r="CE70" i="4"/>
  <c r="Z70" i="4"/>
  <c r="BY70" i="4"/>
  <c r="CH70" i="4"/>
  <c r="CD70" i="4"/>
  <c r="CF70" i="4"/>
  <c r="BM70" i="4"/>
  <c r="CA70" i="4"/>
  <c r="CB70" i="4"/>
  <c r="CI70" i="4"/>
  <c r="BZ70" i="4"/>
  <c r="AJ70" i="4"/>
  <c r="CI29" i="4"/>
  <c r="CC29" i="4"/>
  <c r="CF29" i="4"/>
  <c r="CJ29" i="4"/>
  <c r="BZ29" i="4"/>
  <c r="CH29" i="4"/>
  <c r="Z29" i="4"/>
  <c r="AJ29" i="4"/>
  <c r="AH29" i="4"/>
  <c r="BK29" i="4"/>
  <c r="CA29" i="4"/>
  <c r="CB29" i="4"/>
  <c r="CG29" i="4"/>
  <c r="BY29" i="4"/>
  <c r="BM29" i="4"/>
  <c r="CE29" i="4"/>
  <c r="AB29" i="4"/>
  <c r="CD29" i="4"/>
  <c r="BY89" i="4"/>
  <c r="AB89" i="4"/>
  <c r="AJ89" i="4"/>
  <c r="CB89" i="4"/>
  <c r="CD89" i="4"/>
  <c r="BK89" i="4"/>
  <c r="CH89" i="4"/>
  <c r="CJ89" i="4"/>
  <c r="AH89" i="4"/>
  <c r="BM89" i="4"/>
  <c r="CE89" i="4"/>
  <c r="CI89" i="4"/>
  <c r="CG89" i="4"/>
  <c r="CF89" i="4"/>
  <c r="Z89" i="4"/>
  <c r="CA89" i="4"/>
  <c r="BZ89" i="4"/>
  <c r="CC89" i="4"/>
  <c r="CH91" i="4"/>
  <c r="BY91" i="4"/>
  <c r="CA91" i="4"/>
  <c r="AH91" i="4"/>
  <c r="CE91" i="4"/>
  <c r="AJ91" i="4"/>
  <c r="CF91" i="4"/>
  <c r="CC91" i="4"/>
  <c r="CD91" i="4"/>
  <c r="CB91" i="4"/>
  <c r="Z91" i="4"/>
  <c r="BZ91" i="4"/>
  <c r="CG91" i="4"/>
  <c r="BK91" i="4"/>
  <c r="CJ91" i="4"/>
  <c r="CI91" i="4"/>
  <c r="BM91" i="4"/>
  <c r="AB91" i="4"/>
  <c r="CB73" i="4"/>
  <c r="Z73" i="4"/>
  <c r="CI73" i="4"/>
  <c r="BY73" i="4"/>
  <c r="AB73" i="4"/>
  <c r="CF73" i="4"/>
  <c r="AJ73" i="4"/>
  <c r="CC73" i="4"/>
  <c r="CD73" i="4"/>
  <c r="CJ73" i="4"/>
  <c r="CE73" i="4"/>
  <c r="CG73" i="4"/>
  <c r="CH73" i="4"/>
  <c r="BM73" i="4"/>
  <c r="BK73" i="4"/>
  <c r="BZ73" i="4"/>
  <c r="AH73" i="4"/>
  <c r="CA73" i="4"/>
  <c r="BM28" i="4"/>
  <c r="AB28" i="4"/>
  <c r="CH28" i="4"/>
  <c r="CD28" i="4"/>
  <c r="CA28" i="4"/>
  <c r="Z28" i="4"/>
  <c r="CG28" i="4"/>
  <c r="AJ28" i="4"/>
  <c r="CC28" i="4"/>
  <c r="CI28" i="4"/>
  <c r="CE28" i="4"/>
  <c r="AH28" i="4"/>
  <c r="BK28" i="4"/>
  <c r="CB28" i="4"/>
  <c r="BZ28" i="4"/>
  <c r="CJ28" i="4"/>
  <c r="CF28" i="4"/>
  <c r="BY28" i="4"/>
  <c r="BY54" i="4"/>
  <c r="BZ54" i="4"/>
  <c r="CF54" i="4"/>
  <c r="CB54" i="4"/>
  <c r="BM54" i="4"/>
  <c r="CD54" i="4"/>
  <c r="CH54" i="4"/>
  <c r="AJ54" i="4"/>
  <c r="AH54" i="4"/>
  <c r="CI54" i="4"/>
  <c r="Z54" i="4"/>
  <c r="CC54" i="4"/>
  <c r="CG54" i="4"/>
  <c r="CE54" i="4"/>
  <c r="CJ54" i="4"/>
  <c r="BK54" i="4"/>
  <c r="CA54" i="4"/>
  <c r="AB54" i="4"/>
  <c r="AB85" i="4"/>
  <c r="CB85" i="4"/>
  <c r="BM85" i="4"/>
  <c r="BK85" i="4"/>
  <c r="CF85" i="4"/>
  <c r="CC85" i="4"/>
  <c r="CE85" i="4"/>
  <c r="CJ85" i="4"/>
  <c r="AJ85" i="4"/>
  <c r="Z85" i="4"/>
  <c r="BZ85" i="4"/>
  <c r="CA85" i="4"/>
  <c r="AH85" i="4"/>
  <c r="CQ85" i="4" s="1"/>
  <c r="CR85" i="4" s="1"/>
  <c r="CG85" i="4"/>
  <c r="CH85" i="4"/>
  <c r="CD85" i="4"/>
  <c r="BY85" i="4"/>
  <c r="CI85" i="4"/>
  <c r="BY51" i="4"/>
  <c r="CC51" i="4"/>
  <c r="CA51" i="4"/>
  <c r="CI51" i="4"/>
  <c r="AB51" i="4"/>
  <c r="CD51" i="4"/>
  <c r="CF51" i="4"/>
  <c r="Z51" i="4"/>
  <c r="CE51" i="4"/>
  <c r="BZ51" i="4"/>
  <c r="CH51" i="4"/>
  <c r="BK51" i="4"/>
  <c r="CG51" i="4"/>
  <c r="AJ51" i="4"/>
  <c r="CB51" i="4"/>
  <c r="AH51" i="4"/>
  <c r="CJ51" i="4"/>
  <c r="BM51" i="4"/>
  <c r="CJ69" i="4"/>
  <c r="CF69" i="4"/>
  <c r="CC69" i="4"/>
  <c r="AH69" i="4"/>
  <c r="AB69" i="4"/>
  <c r="BY69" i="4"/>
  <c r="CG69" i="4"/>
  <c r="CH69" i="4"/>
  <c r="CE69" i="4"/>
  <c r="CB69" i="4"/>
  <c r="BM69" i="4"/>
  <c r="CA69" i="4"/>
  <c r="BK69" i="4"/>
  <c r="CD69" i="4"/>
  <c r="CI69" i="4"/>
  <c r="Z69" i="4"/>
  <c r="BZ69" i="4"/>
  <c r="AJ69" i="4"/>
  <c r="CG24" i="4"/>
  <c r="CF24" i="4"/>
  <c r="CH24" i="4"/>
  <c r="AH24" i="4"/>
  <c r="CE24" i="4"/>
  <c r="AJ24" i="4"/>
  <c r="BK24" i="4"/>
  <c r="BZ24" i="4"/>
  <c r="CC24" i="4"/>
  <c r="CI24" i="4"/>
  <c r="AB24" i="4"/>
  <c r="BM24" i="4"/>
  <c r="CB24" i="4"/>
  <c r="CJ24" i="4"/>
  <c r="CD24" i="4"/>
  <c r="CA24" i="4"/>
  <c r="BY24" i="4"/>
  <c r="Z24" i="4"/>
  <c r="CG13" i="4"/>
  <c r="CF13" i="4"/>
  <c r="BY13" i="4"/>
  <c r="BM13" i="4"/>
  <c r="CJ13" i="4"/>
  <c r="AB13" i="4"/>
  <c r="BZ13" i="4"/>
  <c r="BK13" i="4"/>
  <c r="AJ13" i="4"/>
  <c r="Z13" i="4"/>
  <c r="CC13" i="4"/>
  <c r="CE13" i="4"/>
  <c r="AH13" i="4"/>
  <c r="AU13" i="69" s="1"/>
  <c r="CB13" i="4"/>
  <c r="CI13" i="4"/>
  <c r="CA13" i="4"/>
  <c r="CH13" i="4"/>
  <c r="CD13" i="4"/>
  <c r="CG12" i="4"/>
  <c r="BZ12" i="4"/>
  <c r="BK12" i="4"/>
  <c r="CC12" i="4"/>
  <c r="CF12" i="4"/>
  <c r="CH12" i="4"/>
  <c r="BY12" i="4"/>
  <c r="CI12" i="4"/>
  <c r="CA12" i="4"/>
  <c r="AH12" i="4"/>
  <c r="AU12" i="69" s="1"/>
  <c r="CB12" i="4"/>
  <c r="CJ12" i="4"/>
  <c r="CE12" i="4"/>
  <c r="AB12" i="4"/>
  <c r="CD12" i="4"/>
  <c r="BM12" i="4"/>
  <c r="AJ12" i="4"/>
  <c r="Z12" i="4"/>
  <c r="Z63" i="4"/>
  <c r="CJ63" i="4"/>
  <c r="CG63" i="4"/>
  <c r="CF63" i="4"/>
  <c r="CA63" i="4"/>
  <c r="CC63" i="4"/>
  <c r="BK63" i="4"/>
  <c r="AH63" i="4"/>
  <c r="CE63" i="4"/>
  <c r="AJ63" i="4"/>
  <c r="BZ63" i="4"/>
  <c r="CD63" i="4"/>
  <c r="BY63" i="4"/>
  <c r="CI63" i="4"/>
  <c r="CB63" i="4"/>
  <c r="CH63" i="4"/>
  <c r="BM63" i="4"/>
  <c r="AB63" i="4"/>
  <c r="CC16" i="4"/>
  <c r="CI16" i="4"/>
  <c r="AB16" i="4"/>
  <c r="CA16" i="4"/>
  <c r="BM16" i="4"/>
  <c r="AH16" i="4"/>
  <c r="CQ16" i="4" s="1"/>
  <c r="CR16" i="4" s="1"/>
  <c r="BY16" i="4"/>
  <c r="CF16" i="4"/>
  <c r="CH16" i="4"/>
  <c r="CB16" i="4"/>
  <c r="CD16" i="4"/>
  <c r="BZ16" i="4"/>
  <c r="CG16" i="4"/>
  <c r="CE16" i="4"/>
  <c r="CJ16" i="4"/>
  <c r="Z16" i="4"/>
  <c r="AJ16" i="4"/>
  <c r="BK16" i="4"/>
  <c r="CC67" i="4"/>
  <c r="CA67" i="4"/>
  <c r="CF67" i="4"/>
  <c r="BK67" i="4"/>
  <c r="Z67" i="4"/>
  <c r="AH67" i="4"/>
  <c r="CI67" i="4"/>
  <c r="BZ67" i="4"/>
  <c r="BM67" i="4"/>
  <c r="CJ67" i="4"/>
  <c r="BY67" i="4"/>
  <c r="AB67" i="4"/>
  <c r="AJ67" i="4"/>
  <c r="CD67" i="4"/>
  <c r="CB67" i="4"/>
  <c r="CH67" i="4"/>
  <c r="CE67" i="4"/>
  <c r="CG67" i="4"/>
  <c r="CB25" i="4"/>
  <c r="CI25" i="4"/>
  <c r="CE25" i="4"/>
  <c r="CJ25" i="4"/>
  <c r="Z25" i="4"/>
  <c r="CC25" i="4"/>
  <c r="AJ25" i="4"/>
  <c r="CF25" i="4"/>
  <c r="CG25" i="4"/>
  <c r="BY25" i="4"/>
  <c r="AH25" i="4"/>
  <c r="BK25" i="4"/>
  <c r="CD25" i="4"/>
  <c r="BM25" i="4"/>
  <c r="CA25" i="4"/>
  <c r="AB25" i="4"/>
  <c r="CH25" i="4"/>
  <c r="BZ25" i="4"/>
  <c r="BH95" i="4"/>
  <c r="BF95" i="4"/>
  <c r="BG95" i="4"/>
  <c r="BK66" i="4"/>
  <c r="CJ66" i="4"/>
  <c r="CI66" i="4"/>
  <c r="AJ66" i="4"/>
  <c r="CE66" i="4"/>
  <c r="CB66" i="4"/>
  <c r="Z66" i="4"/>
  <c r="CH66" i="4"/>
  <c r="AB66" i="4"/>
  <c r="AH66" i="4"/>
  <c r="CQ66" i="4" s="1"/>
  <c r="CR66" i="4" s="1"/>
  <c r="CF66" i="4"/>
  <c r="CA66" i="4"/>
  <c r="CD66" i="4"/>
  <c r="BM66" i="4"/>
  <c r="BY66" i="4"/>
  <c r="CG66" i="4"/>
  <c r="CC66" i="4"/>
  <c r="BZ66" i="4"/>
  <c r="CF88" i="4"/>
  <c r="BM88" i="4"/>
  <c r="CG88" i="4"/>
  <c r="BY88" i="4"/>
  <c r="BZ88" i="4"/>
  <c r="CH88" i="4"/>
  <c r="CA88" i="4"/>
  <c r="CD88" i="4"/>
  <c r="AB88" i="4"/>
  <c r="AJ88" i="4"/>
  <c r="CB88" i="4"/>
  <c r="CE88" i="4"/>
  <c r="Z88" i="4"/>
  <c r="BK88" i="4"/>
  <c r="CJ88" i="4"/>
  <c r="CC88" i="4"/>
  <c r="CI88" i="4"/>
  <c r="AH88" i="4"/>
  <c r="BZ57" i="4"/>
  <c r="BK57" i="4"/>
  <c r="CE57" i="4"/>
  <c r="CA57" i="4"/>
  <c r="CH57" i="4"/>
  <c r="AJ57" i="4"/>
  <c r="CC57" i="4"/>
  <c r="CD57" i="4"/>
  <c r="BY57" i="4"/>
  <c r="CG57" i="4"/>
  <c r="CF57" i="4"/>
  <c r="AB57" i="4"/>
  <c r="CJ57" i="4"/>
  <c r="Z57" i="4"/>
  <c r="AH57" i="4"/>
  <c r="CI57" i="4"/>
  <c r="CB57" i="4"/>
  <c r="BT57" i="4" s="1"/>
  <c r="BM57" i="4"/>
  <c r="CJ33" i="4"/>
  <c r="CF33" i="4"/>
  <c r="BY33" i="4"/>
  <c r="CB33" i="4"/>
  <c r="BM33" i="4"/>
  <c r="AB33" i="4"/>
  <c r="Z33" i="4"/>
  <c r="CD33" i="4"/>
  <c r="CC33" i="4"/>
  <c r="AJ33" i="4"/>
  <c r="CE33" i="4"/>
  <c r="BK33" i="4"/>
  <c r="BZ33" i="4"/>
  <c r="CI33" i="4"/>
  <c r="AH33" i="4"/>
  <c r="CA33" i="4"/>
  <c r="CG33" i="4"/>
  <c r="CH33" i="4"/>
  <c r="CE82" i="4"/>
  <c r="BY82" i="4"/>
  <c r="CI82" i="4"/>
  <c r="CH82" i="4"/>
  <c r="CA82" i="4"/>
  <c r="CB82" i="4"/>
  <c r="BK82" i="4"/>
  <c r="AB82" i="4"/>
  <c r="CC82" i="4"/>
  <c r="AJ82" i="4"/>
  <c r="CD82" i="4"/>
  <c r="CF82" i="4"/>
  <c r="AH82" i="4"/>
  <c r="CJ82" i="4"/>
  <c r="BZ82" i="4"/>
  <c r="BM82" i="4"/>
  <c r="CG82" i="4"/>
  <c r="Z82" i="4"/>
  <c r="AJ47" i="4"/>
  <c r="CB47" i="4"/>
  <c r="BK47" i="4"/>
  <c r="CI47" i="4"/>
  <c r="CG47" i="4"/>
  <c r="CF47" i="4"/>
  <c r="BZ47" i="4"/>
  <c r="CA47" i="4"/>
  <c r="AH47" i="4"/>
  <c r="BY47" i="4"/>
  <c r="CH47" i="4"/>
  <c r="CD47" i="4"/>
  <c r="Z47" i="4"/>
  <c r="CC47" i="4"/>
  <c r="CE47" i="4"/>
  <c r="AB47" i="4"/>
  <c r="CJ47" i="4"/>
  <c r="BM47" i="4"/>
  <c r="CH40" i="4"/>
  <c r="BK40" i="4"/>
  <c r="BZ40" i="4"/>
  <c r="CI40" i="4"/>
  <c r="AJ40" i="4"/>
  <c r="CB40" i="4"/>
  <c r="CD40" i="4"/>
  <c r="CG40" i="4"/>
  <c r="CJ40" i="4"/>
  <c r="CC40" i="4"/>
  <c r="CE40" i="4"/>
  <c r="BM40" i="4"/>
  <c r="AB40" i="4"/>
  <c r="BY40" i="4"/>
  <c r="CF40" i="4"/>
  <c r="CA40" i="4"/>
  <c r="Z40" i="4"/>
  <c r="AH40" i="4"/>
  <c r="CQ40" i="4" s="1"/>
  <c r="CR40" i="4" s="1"/>
  <c r="AH38" i="4"/>
  <c r="CC38" i="4"/>
  <c r="CB38" i="4"/>
  <c r="CJ38" i="4"/>
  <c r="AB38" i="4"/>
  <c r="BK38" i="4"/>
  <c r="CH38" i="4"/>
  <c r="CD38" i="4"/>
  <c r="CI38" i="4"/>
  <c r="BZ38" i="4"/>
  <c r="CA38" i="4"/>
  <c r="CE38" i="4"/>
  <c r="AJ38" i="4"/>
  <c r="Z38" i="4"/>
  <c r="CF38" i="4"/>
  <c r="BY38" i="4"/>
  <c r="BM38" i="4"/>
  <c r="CG38" i="4"/>
  <c r="BZ68" i="4"/>
  <c r="CG68" i="4"/>
  <c r="CI68" i="4"/>
  <c r="CE68" i="4"/>
  <c r="BM68" i="4"/>
  <c r="CJ68" i="4"/>
  <c r="CF68" i="4"/>
  <c r="Z68" i="4"/>
  <c r="AJ68" i="4"/>
  <c r="AB68" i="4"/>
  <c r="CB68" i="4"/>
  <c r="AH68" i="4"/>
  <c r="CQ68" i="4" s="1"/>
  <c r="CR68" i="4" s="1"/>
  <c r="BY68" i="4"/>
  <c r="CD68" i="4"/>
  <c r="CH68" i="4"/>
  <c r="BK68" i="4"/>
  <c r="CA68" i="4"/>
  <c r="CC68" i="4"/>
  <c r="CF11" i="4"/>
  <c r="CJ11" i="4"/>
  <c r="CA11" i="4"/>
  <c r="AJ11" i="4"/>
  <c r="AH11" i="4"/>
  <c r="CQ11" i="4" s="1"/>
  <c r="CR11" i="4" s="1"/>
  <c r="AB11" i="4"/>
  <c r="CE11" i="4"/>
  <c r="CD11" i="4"/>
  <c r="CH11" i="4"/>
  <c r="BZ11" i="4"/>
  <c r="CI11" i="4"/>
  <c r="CG11" i="4"/>
  <c r="Z11" i="4"/>
  <c r="BK11" i="4"/>
  <c r="CC11" i="4"/>
  <c r="BY11" i="4"/>
  <c r="CB11" i="4"/>
  <c r="BM11" i="4"/>
  <c r="BZ80" i="4"/>
  <c r="CC80" i="4"/>
  <c r="CJ80" i="4"/>
  <c r="CF80" i="4"/>
  <c r="BY80" i="4"/>
  <c r="CG80" i="4"/>
  <c r="CH80" i="4"/>
  <c r="CE80" i="4"/>
  <c r="AB80" i="4"/>
  <c r="BM80" i="4"/>
  <c r="BK80" i="4"/>
  <c r="CB80" i="4"/>
  <c r="CA80" i="4"/>
  <c r="CD80" i="4"/>
  <c r="Z80" i="4"/>
  <c r="AH80" i="4"/>
  <c r="CQ80" i="4" s="1"/>
  <c r="CR80" i="4" s="1"/>
  <c r="CI80" i="4"/>
  <c r="AJ80" i="4"/>
  <c r="AB77" i="4"/>
  <c r="CA77" i="4"/>
  <c r="CD77" i="4"/>
  <c r="BM77" i="4"/>
  <c r="CI77" i="4"/>
  <c r="CB77" i="4"/>
  <c r="CH77" i="4"/>
  <c r="CF77" i="4"/>
  <c r="AH77" i="4"/>
  <c r="CG77" i="4"/>
  <c r="BZ77" i="4"/>
  <c r="BK77" i="4"/>
  <c r="CE77" i="4"/>
  <c r="Z77" i="4"/>
  <c r="CJ77" i="4"/>
  <c r="CC77" i="4"/>
  <c r="AJ77" i="4"/>
  <c r="BY77" i="4"/>
  <c r="BK90" i="4"/>
  <c r="BZ90" i="4"/>
  <c r="BY90" i="4"/>
  <c r="Z90" i="4"/>
  <c r="AB90" i="4"/>
  <c r="CB90" i="4"/>
  <c r="CF90" i="4"/>
  <c r="AH90" i="4"/>
  <c r="CH90" i="4"/>
  <c r="CI90" i="4"/>
  <c r="CJ90" i="4"/>
  <c r="CE90" i="4"/>
  <c r="AJ90" i="4"/>
  <c r="CC90" i="4"/>
  <c r="CD90" i="4"/>
  <c r="CG90" i="4"/>
  <c r="BM90" i="4"/>
  <c r="CA90" i="4"/>
  <c r="CC53" i="4"/>
  <c r="AH53" i="4"/>
  <c r="BY53" i="4"/>
  <c r="CH53" i="4"/>
  <c r="BK53" i="4"/>
  <c r="CI53" i="4"/>
  <c r="Z53" i="4"/>
  <c r="CA53" i="4"/>
  <c r="CG53" i="4"/>
  <c r="AJ53" i="4"/>
  <c r="AB53" i="4"/>
  <c r="BM53" i="4"/>
  <c r="CF53" i="4"/>
  <c r="CE53" i="4"/>
  <c r="BZ53" i="4"/>
  <c r="CJ53" i="4"/>
  <c r="CD53" i="4"/>
  <c r="CB53" i="4"/>
  <c r="AJ62" i="4"/>
  <c r="CH62" i="4"/>
  <c r="BM62" i="4"/>
  <c r="CF62" i="4"/>
  <c r="BK62" i="4"/>
  <c r="CA62" i="4"/>
  <c r="CD62" i="4"/>
  <c r="CJ62" i="4"/>
  <c r="Z62" i="4"/>
  <c r="CE62" i="4"/>
  <c r="CG62" i="4"/>
  <c r="CB62" i="4"/>
  <c r="BZ62" i="4"/>
  <c r="AB62" i="4"/>
  <c r="CI62" i="4"/>
  <c r="CC62" i="4"/>
  <c r="AH62" i="4"/>
  <c r="BY62" i="4"/>
  <c r="BK78" i="4"/>
  <c r="CF78" i="4"/>
  <c r="CC78" i="4"/>
  <c r="BY78" i="4"/>
  <c r="BM78" i="4"/>
  <c r="CG78" i="4"/>
  <c r="CE78" i="4"/>
  <c r="CD78" i="4"/>
  <c r="BZ78" i="4"/>
  <c r="CB78" i="4"/>
  <c r="AH78" i="4"/>
  <c r="CH78" i="4"/>
  <c r="AB78" i="4"/>
  <c r="CI78" i="4"/>
  <c r="Z78" i="4"/>
  <c r="AJ78" i="4"/>
  <c r="CA78" i="4"/>
  <c r="CJ78" i="4"/>
  <c r="CI8" i="4"/>
  <c r="CA8" i="4"/>
  <c r="CC8" i="4"/>
  <c r="CF8" i="4"/>
  <c r="CG8" i="4"/>
  <c r="Z8" i="4"/>
  <c r="Q8" i="69" s="1"/>
  <c r="CE8" i="4"/>
  <c r="CJ8" i="4"/>
  <c r="AB8" i="4"/>
  <c r="BK8" i="4"/>
  <c r="CD8" i="4"/>
  <c r="BY8" i="4"/>
  <c r="BM8" i="4"/>
  <c r="AJ8" i="4"/>
  <c r="CB8" i="4"/>
  <c r="CH8" i="4"/>
  <c r="AH8" i="4"/>
  <c r="CQ8" i="4" s="1"/>
  <c r="CR8" i="4" s="1"/>
  <c r="BZ8" i="4"/>
  <c r="CI7" i="4"/>
  <c r="BY7" i="4"/>
  <c r="CG7" i="4"/>
  <c r="CH7" i="4"/>
  <c r="CJ7" i="4"/>
  <c r="BK7" i="4"/>
  <c r="Z7" i="4"/>
  <c r="BM7" i="4"/>
  <c r="AH7" i="4"/>
  <c r="CQ7" i="4" s="1"/>
  <c r="CR7" i="4" s="1"/>
  <c r="BZ7" i="4"/>
  <c r="AB7" i="4"/>
  <c r="CC7" i="4"/>
  <c r="CD7" i="4"/>
  <c r="CB7" i="4"/>
  <c r="CE7" i="4"/>
  <c r="CF7" i="4"/>
  <c r="CA7" i="4"/>
  <c r="AJ7" i="4"/>
  <c r="BM15" i="4"/>
  <c r="AB15" i="4"/>
  <c r="AJ15" i="4"/>
  <c r="AH15" i="4"/>
  <c r="CQ15" i="4" s="1"/>
  <c r="CR15" i="4" s="1"/>
  <c r="BY15" i="4"/>
  <c r="CD15" i="4"/>
  <c r="Z15" i="4"/>
  <c r="Q15" i="69" s="1"/>
  <c r="CA15" i="4"/>
  <c r="CF15" i="4"/>
  <c r="BZ15" i="4"/>
  <c r="CE15" i="4"/>
  <c r="CI15" i="4"/>
  <c r="CC15" i="4"/>
  <c r="CJ15" i="4"/>
  <c r="CG15" i="4"/>
  <c r="BK15" i="4"/>
  <c r="CH15" i="4"/>
  <c r="CB15" i="4"/>
  <c r="CD18" i="4"/>
  <c r="CC18" i="4"/>
  <c r="BZ18" i="4"/>
  <c r="AB18" i="4"/>
  <c r="AJ18" i="4"/>
  <c r="Z18" i="4"/>
  <c r="BK18" i="4"/>
  <c r="CF18" i="4"/>
  <c r="CG18" i="4"/>
  <c r="CB18" i="4"/>
  <c r="BY18" i="4"/>
  <c r="CA18" i="4"/>
  <c r="CI18" i="4"/>
  <c r="AH18" i="4"/>
  <c r="AU18" i="69" s="1"/>
  <c r="BM18" i="4"/>
  <c r="CE18" i="4"/>
  <c r="CH18" i="4"/>
  <c r="CJ18" i="4"/>
  <c r="BY5" i="4"/>
  <c r="CC5" i="4"/>
  <c r="CA5" i="4"/>
  <c r="AH5" i="4"/>
  <c r="CQ5" i="4" s="1"/>
  <c r="CR5" i="4" s="1"/>
  <c r="Z5" i="4"/>
  <c r="BZ5" i="4"/>
  <c r="CD5" i="4"/>
  <c r="CH5" i="4"/>
  <c r="CI5" i="4"/>
  <c r="BM5" i="4"/>
  <c r="BK5" i="4"/>
  <c r="CB5" i="4"/>
  <c r="AB5" i="4"/>
  <c r="AJ5" i="4"/>
  <c r="CJ5" i="4"/>
  <c r="CE5" i="4"/>
  <c r="CF5" i="4"/>
  <c r="CG5" i="4"/>
  <c r="CE71" i="4"/>
  <c r="CA71" i="4"/>
  <c r="CB71" i="4"/>
  <c r="Z71" i="4"/>
  <c r="AH71" i="4"/>
  <c r="BK71" i="4"/>
  <c r="CH71" i="4"/>
  <c r="BM71" i="4"/>
  <c r="BY71" i="4"/>
  <c r="CG71" i="4"/>
  <c r="CD71" i="4"/>
  <c r="CI71" i="4"/>
  <c r="CF71" i="4"/>
  <c r="AB71" i="4"/>
  <c r="CJ71" i="4"/>
  <c r="CC71" i="4"/>
  <c r="AJ71" i="4"/>
  <c r="BZ71" i="4"/>
  <c r="CH3" i="4"/>
  <c r="BK3" i="4"/>
  <c r="BZ3" i="4"/>
  <c r="CA3" i="4"/>
  <c r="Z3" i="4"/>
  <c r="AB3" i="4"/>
  <c r="CJ3" i="4"/>
  <c r="CF3" i="4"/>
  <c r="AH3" i="4"/>
  <c r="CQ3" i="4" s="1"/>
  <c r="AJ3" i="4"/>
  <c r="CG3" i="4"/>
  <c r="CB3" i="4"/>
  <c r="BM3" i="4"/>
  <c r="CI3" i="4"/>
  <c r="CC3" i="4"/>
  <c r="CD3" i="4"/>
  <c r="CE3" i="4"/>
  <c r="BY3" i="4"/>
  <c r="CH35" i="4"/>
  <c r="CC35" i="4"/>
  <c r="CI35" i="4"/>
  <c r="AB35" i="4"/>
  <c r="AH35" i="4"/>
  <c r="CA35" i="4"/>
  <c r="AJ35" i="4"/>
  <c r="BY35" i="4"/>
  <c r="CD35" i="4"/>
  <c r="CJ35" i="4"/>
  <c r="CE35" i="4"/>
  <c r="BK35" i="4"/>
  <c r="CF35" i="4"/>
  <c r="CG35" i="4"/>
  <c r="BM35" i="4"/>
  <c r="BZ35" i="4"/>
  <c r="Z35" i="4"/>
  <c r="CB35" i="4"/>
  <c r="BM48" i="4"/>
  <c r="BY48" i="4"/>
  <c r="CH48" i="4"/>
  <c r="CF48" i="4"/>
  <c r="AB48" i="4"/>
  <c r="AH48" i="4"/>
  <c r="CA48" i="4"/>
  <c r="CI48" i="4"/>
  <c r="Z48" i="4"/>
  <c r="CE48" i="4"/>
  <c r="BK48" i="4"/>
  <c r="CG48" i="4"/>
  <c r="AJ48" i="4"/>
  <c r="CC48" i="4"/>
  <c r="CB48" i="4"/>
  <c r="BZ48" i="4"/>
  <c r="CD48" i="4"/>
  <c r="CJ48" i="4"/>
  <c r="CB65" i="4"/>
  <c r="BK65" i="4"/>
  <c r="BM65" i="4"/>
  <c r="CH65" i="4"/>
  <c r="CI65" i="4"/>
  <c r="CG65" i="4"/>
  <c r="AH65" i="4"/>
  <c r="CF65" i="4"/>
  <c r="CC65" i="4"/>
  <c r="CD65" i="4"/>
  <c r="CE65" i="4"/>
  <c r="Z65" i="4"/>
  <c r="CS65" i="4" s="1"/>
  <c r="CT65" i="4" s="1"/>
  <c r="BZ65" i="4"/>
  <c r="AB65" i="4"/>
  <c r="BY65" i="4"/>
  <c r="AJ65" i="4"/>
  <c r="CA65" i="4"/>
  <c r="CJ65" i="4"/>
  <c r="BH65" i="4"/>
  <c r="BF65" i="4"/>
  <c r="BG65" i="4"/>
  <c r="CF39" i="4"/>
  <c r="CB39" i="4"/>
  <c r="CI39" i="4"/>
  <c r="CG39" i="4"/>
  <c r="BY39" i="4"/>
  <c r="CJ39" i="4"/>
  <c r="CE39" i="4"/>
  <c r="BK39" i="4"/>
  <c r="CD39" i="4"/>
  <c r="AJ39" i="4"/>
  <c r="Z39" i="4"/>
  <c r="CA39" i="4"/>
  <c r="AB39" i="4"/>
  <c r="BM39" i="4"/>
  <c r="CH39" i="4"/>
  <c r="BZ39" i="4"/>
  <c r="CC39" i="4"/>
  <c r="AH39" i="4"/>
  <c r="CJ75" i="4"/>
  <c r="BZ75" i="4"/>
  <c r="AH75" i="4"/>
  <c r="CB75" i="4"/>
  <c r="BY75" i="4"/>
  <c r="BM75" i="4"/>
  <c r="CE75" i="4"/>
  <c r="Z75" i="4"/>
  <c r="CD75" i="4"/>
  <c r="AB75" i="4"/>
  <c r="CC75" i="4"/>
  <c r="CG75" i="4"/>
  <c r="CF75" i="4"/>
  <c r="BK75" i="4"/>
  <c r="AJ75" i="4"/>
  <c r="CI75" i="4"/>
  <c r="CH75" i="4"/>
  <c r="CA75" i="4"/>
  <c r="Z46" i="4"/>
  <c r="CA46" i="4"/>
  <c r="BY46" i="4"/>
  <c r="CD46" i="4"/>
  <c r="AJ46" i="4"/>
  <c r="BM46" i="4"/>
  <c r="BK46" i="4"/>
  <c r="CI46" i="4"/>
  <c r="CG46" i="4"/>
  <c r="AH46" i="4"/>
  <c r="CQ46" i="4" s="1"/>
  <c r="CR46" i="4" s="1"/>
  <c r="CC46" i="4"/>
  <c r="CE46" i="4"/>
  <c r="CH46" i="4"/>
  <c r="CB46" i="4"/>
  <c r="AB46" i="4"/>
  <c r="CF46" i="4"/>
  <c r="CJ46" i="4"/>
  <c r="BZ46" i="4"/>
  <c r="CH42" i="4"/>
  <c r="AB42" i="4"/>
  <c r="CB42" i="4"/>
  <c r="Z42" i="4"/>
  <c r="CG42" i="4"/>
  <c r="AH42" i="4"/>
  <c r="BM42" i="4"/>
  <c r="AJ42" i="4"/>
  <c r="CI42" i="4"/>
  <c r="BY42" i="4"/>
  <c r="CA42" i="4"/>
  <c r="CC42" i="4"/>
  <c r="CJ42" i="4"/>
  <c r="BZ42" i="4"/>
  <c r="CE42" i="4"/>
  <c r="CD42" i="4"/>
  <c r="CF42" i="4"/>
  <c r="BK42" i="4"/>
  <c r="CG26" i="4"/>
  <c r="CA26" i="4"/>
  <c r="BK26" i="4"/>
  <c r="BM26" i="4"/>
  <c r="CE26" i="4"/>
  <c r="AJ26" i="4"/>
  <c r="CH26" i="4"/>
  <c r="AB26" i="4"/>
  <c r="CI26" i="4"/>
  <c r="CD26" i="4"/>
  <c r="BY26" i="4"/>
  <c r="AH26" i="4"/>
  <c r="BZ26" i="4"/>
  <c r="CF26" i="4"/>
  <c r="Z26" i="4"/>
  <c r="CB26" i="4"/>
  <c r="CC26" i="4"/>
  <c r="CJ26" i="4"/>
  <c r="CB52" i="4"/>
  <c r="BY52" i="4"/>
  <c r="BZ52" i="4"/>
  <c r="CA52" i="4"/>
  <c r="CG52" i="4"/>
  <c r="AJ52" i="4"/>
  <c r="CD52" i="4"/>
  <c r="CI52" i="4"/>
  <c r="CJ52" i="4"/>
  <c r="CE52" i="4"/>
  <c r="CH52" i="4"/>
  <c r="Z52" i="4"/>
  <c r="BM52" i="4"/>
  <c r="BK52" i="4"/>
  <c r="AB52" i="4"/>
  <c r="AH52" i="4"/>
  <c r="CF52" i="4"/>
  <c r="CC52" i="4"/>
  <c r="BZ72" i="4"/>
  <c r="CC72" i="4"/>
  <c r="BF72" i="4"/>
  <c r="BY72" i="4"/>
  <c r="CF72" i="4"/>
  <c r="CB72" i="4"/>
  <c r="CA72" i="4"/>
  <c r="AH72" i="4"/>
  <c r="CE72" i="4"/>
  <c r="Z72" i="4"/>
  <c r="AB72" i="4"/>
  <c r="BM72" i="4"/>
  <c r="CJ72" i="4"/>
  <c r="BH72" i="4"/>
  <c r="CG72" i="4"/>
  <c r="CD72" i="4"/>
  <c r="AJ72" i="4"/>
  <c r="CH72" i="4"/>
  <c r="BK72" i="4"/>
  <c r="BG72" i="4"/>
  <c r="CI72" i="4"/>
  <c r="AB23" i="4"/>
  <c r="CG23" i="4"/>
  <c r="BY23" i="4"/>
  <c r="BM23" i="4"/>
  <c r="CJ23" i="4"/>
  <c r="Z23" i="4"/>
  <c r="CA23" i="4"/>
  <c r="CH23" i="4"/>
  <c r="CC23" i="4"/>
  <c r="CE23" i="4"/>
  <c r="AH23" i="4"/>
  <c r="CI23" i="4"/>
  <c r="CB23" i="4"/>
  <c r="BZ23" i="4"/>
  <c r="CF23" i="4"/>
  <c r="CD23" i="4"/>
  <c r="BK23" i="4"/>
  <c r="AJ23" i="4"/>
  <c r="Z59" i="4"/>
  <c r="CF59" i="4"/>
  <c r="BK59" i="4"/>
  <c r="BM59" i="4"/>
  <c r="CD59" i="4"/>
  <c r="BY59" i="4"/>
  <c r="AB59" i="4"/>
  <c r="CA59" i="4"/>
  <c r="AJ59" i="4"/>
  <c r="CB59" i="4"/>
  <c r="CC59" i="4"/>
  <c r="CG59" i="4"/>
  <c r="CE59" i="4"/>
  <c r="CH59" i="4"/>
  <c r="BZ59" i="4"/>
  <c r="CI59" i="4"/>
  <c r="AH59" i="4"/>
  <c r="CJ59" i="4"/>
  <c r="CJ41" i="4"/>
  <c r="CH41" i="4"/>
  <c r="CA41" i="4"/>
  <c r="CC41" i="4"/>
  <c r="CD41" i="4"/>
  <c r="AJ41" i="4"/>
  <c r="BY41" i="4"/>
  <c r="AH41" i="4"/>
  <c r="BZ41" i="4"/>
  <c r="CF41" i="4"/>
  <c r="BK41" i="4"/>
  <c r="CB41" i="4"/>
  <c r="AB41" i="4"/>
  <c r="BM41" i="4"/>
  <c r="Z41" i="4"/>
  <c r="CI41" i="4"/>
  <c r="CE41" i="4"/>
  <c r="CG41" i="4"/>
  <c r="CI9" i="4"/>
  <c r="CJ9" i="4"/>
  <c r="AB9" i="4"/>
  <c r="CC9" i="4"/>
  <c r="CA9" i="4"/>
  <c r="BK9" i="4"/>
  <c r="CF9" i="4"/>
  <c r="CH9" i="4"/>
  <c r="CG9" i="4"/>
  <c r="AH9" i="4"/>
  <c r="CQ9" i="4" s="1"/>
  <c r="CR9" i="4" s="1"/>
  <c r="BZ9" i="4"/>
  <c r="CB9" i="4"/>
  <c r="Z9" i="4"/>
  <c r="Q9" i="69" s="1"/>
  <c r="AJ9" i="4"/>
  <c r="CD9" i="4"/>
  <c r="BM9" i="4"/>
  <c r="CE9" i="4"/>
  <c r="BY9" i="4"/>
  <c r="CB14" i="4"/>
  <c r="AH14" i="4"/>
  <c r="CQ14" i="4" s="1"/>
  <c r="CR14" i="4" s="1"/>
  <c r="CF14" i="4"/>
  <c r="CI14" i="4"/>
  <c r="CH14" i="4"/>
  <c r="CJ14" i="4"/>
  <c r="BZ14" i="4"/>
  <c r="CE14" i="4"/>
  <c r="Z14" i="4"/>
  <c r="BK14" i="4"/>
  <c r="CA14" i="4"/>
  <c r="CD14" i="4"/>
  <c r="BM14" i="4"/>
  <c r="CC14" i="4"/>
  <c r="BY14" i="4"/>
  <c r="AJ14" i="4"/>
  <c r="CG14" i="4"/>
  <c r="AB14" i="4"/>
  <c r="CB19" i="4"/>
  <c r="Z19" i="4"/>
  <c r="AB19" i="4"/>
  <c r="AH19" i="4"/>
  <c r="CQ19" i="4" s="1"/>
  <c r="CR19" i="4" s="1"/>
  <c r="BY19" i="4"/>
  <c r="CA19" i="4"/>
  <c r="BM19" i="4"/>
  <c r="CE19" i="4"/>
  <c r="CG19" i="4"/>
  <c r="CI19" i="4"/>
  <c r="CC19" i="4"/>
  <c r="CF19" i="4"/>
  <c r="CH19" i="4"/>
  <c r="AJ19" i="4"/>
  <c r="BZ19" i="4"/>
  <c r="CD19" i="4"/>
  <c r="CJ19" i="4"/>
  <c r="BK19" i="4"/>
  <c r="BK64" i="4"/>
  <c r="Z64" i="4"/>
  <c r="AB64" i="4"/>
  <c r="CA64" i="4"/>
  <c r="BZ64" i="4"/>
  <c r="CC64" i="4"/>
  <c r="BY64" i="4"/>
  <c r="CJ64" i="4"/>
  <c r="AH64" i="4"/>
  <c r="CE64" i="4"/>
  <c r="CH64" i="4"/>
  <c r="CF64" i="4"/>
  <c r="AJ64" i="4"/>
  <c r="CD64" i="4"/>
  <c r="CG64" i="4"/>
  <c r="CI64" i="4"/>
  <c r="BM64" i="4"/>
  <c r="CB64" i="4"/>
  <c r="CD22" i="4"/>
  <c r="CF22" i="4"/>
  <c r="CA22" i="4"/>
  <c r="CC22" i="4"/>
  <c r="BY22" i="4"/>
  <c r="Z22" i="4"/>
  <c r="CI22" i="4"/>
  <c r="AJ22" i="4"/>
  <c r="CE22" i="4"/>
  <c r="CH22" i="4"/>
  <c r="BK22" i="4"/>
  <c r="BZ22" i="4"/>
  <c r="AH22" i="4"/>
  <c r="CB22" i="4"/>
  <c r="CJ22" i="4"/>
  <c r="CG22" i="4"/>
  <c r="AB22" i="4"/>
  <c r="BM22" i="4"/>
  <c r="BY81" i="4"/>
  <c r="CJ81" i="4"/>
  <c r="CI81" i="4"/>
  <c r="BM81" i="4"/>
  <c r="BK81" i="4"/>
  <c r="CH81" i="4"/>
  <c r="CE81" i="4"/>
  <c r="CG81" i="4"/>
  <c r="CA81" i="4"/>
  <c r="Z81" i="4"/>
  <c r="CD81" i="4"/>
  <c r="CC81" i="4"/>
  <c r="BZ81" i="4"/>
  <c r="AH81" i="4"/>
  <c r="AJ81" i="4"/>
  <c r="CB81" i="4"/>
  <c r="CF81" i="4"/>
  <c r="AB81" i="4"/>
  <c r="CC92" i="4"/>
  <c r="AB92" i="4"/>
  <c r="Z92" i="4"/>
  <c r="AJ92" i="4"/>
  <c r="CG92" i="4"/>
  <c r="BZ92" i="4"/>
  <c r="BY92" i="4"/>
  <c r="CA92" i="4"/>
  <c r="BM92" i="4"/>
  <c r="AH92" i="4"/>
  <c r="CQ92" i="4" s="1"/>
  <c r="CR92" i="4" s="1"/>
  <c r="CE92" i="4"/>
  <c r="CB92" i="4"/>
  <c r="CH92" i="4"/>
  <c r="CJ92" i="4"/>
  <c r="BK92" i="4"/>
  <c r="CI92" i="4"/>
  <c r="CD92" i="4"/>
  <c r="CF92" i="4"/>
  <c r="BK31" i="4"/>
  <c r="BZ31" i="4"/>
  <c r="BY31" i="4"/>
  <c r="CJ31" i="4"/>
  <c r="AB31" i="4"/>
  <c r="CD31" i="4"/>
  <c r="BM31" i="4"/>
  <c r="AH31" i="4"/>
  <c r="CF31" i="4"/>
  <c r="CI31" i="4"/>
  <c r="CH31" i="4"/>
  <c r="CB31" i="4"/>
  <c r="CA31" i="4"/>
  <c r="Z31" i="4"/>
  <c r="CE31" i="4"/>
  <c r="CG31" i="4"/>
  <c r="CC31" i="4"/>
  <c r="AJ31" i="4"/>
  <c r="CE50" i="4"/>
  <c r="CF50" i="4"/>
  <c r="BZ50" i="4"/>
  <c r="AH50" i="4"/>
  <c r="CJ50" i="4"/>
  <c r="BY50" i="4"/>
  <c r="BM50" i="4"/>
  <c r="CD50" i="4"/>
  <c r="CH50" i="4"/>
  <c r="CI50" i="4"/>
  <c r="AJ50" i="4"/>
  <c r="Z50" i="4"/>
  <c r="BK50" i="4"/>
  <c r="CG50" i="4"/>
  <c r="CC50" i="4"/>
  <c r="CA50" i="4"/>
  <c r="AB50" i="4"/>
  <c r="CB50" i="4"/>
  <c r="Z61" i="4"/>
  <c r="CE61" i="4"/>
  <c r="CI61" i="4"/>
  <c r="CG61" i="4"/>
  <c r="AH61" i="4"/>
  <c r="BM61" i="4"/>
  <c r="CB61" i="4"/>
  <c r="BY61" i="4"/>
  <c r="AJ61" i="4"/>
  <c r="CF61" i="4"/>
  <c r="CH61" i="4"/>
  <c r="CD61" i="4"/>
  <c r="CC61" i="4"/>
  <c r="BK61" i="4"/>
  <c r="AB61" i="4"/>
  <c r="BZ61" i="4"/>
  <c r="CA61" i="4"/>
  <c r="CJ61" i="4"/>
  <c r="AH49" i="4"/>
  <c r="AB49" i="4"/>
  <c r="BM49" i="4"/>
  <c r="Z49" i="4"/>
  <c r="CF49" i="4"/>
  <c r="CC49" i="4"/>
  <c r="BK49" i="4"/>
  <c r="CD49" i="4"/>
  <c r="BY49" i="4"/>
  <c r="CE49" i="4"/>
  <c r="CG49" i="4"/>
  <c r="AJ49" i="4"/>
  <c r="CA49" i="4"/>
  <c r="BZ49" i="4"/>
  <c r="CB49" i="4"/>
  <c r="CI49" i="4"/>
  <c r="CJ49" i="4"/>
  <c r="CH49" i="4"/>
  <c r="CB87" i="4"/>
  <c r="Z87" i="4"/>
  <c r="CC87" i="4"/>
  <c r="BM87" i="4"/>
  <c r="AJ87" i="4"/>
  <c r="CG87" i="4"/>
  <c r="CA87" i="4"/>
  <c r="CJ87" i="4"/>
  <c r="CE87" i="4"/>
  <c r="CH87" i="4"/>
  <c r="AB87" i="4"/>
  <c r="BZ87" i="4"/>
  <c r="BY87" i="4"/>
  <c r="CF87" i="4"/>
  <c r="CI87" i="4"/>
  <c r="AH87" i="4"/>
  <c r="CD87" i="4"/>
  <c r="BK87" i="4"/>
  <c r="AJ76" i="4"/>
  <c r="AB76" i="4"/>
  <c r="BK76" i="4"/>
  <c r="CB76" i="4"/>
  <c r="CA76" i="4"/>
  <c r="BM76" i="4"/>
  <c r="CC76" i="4"/>
  <c r="CJ76" i="4"/>
  <c r="CD76" i="4"/>
  <c r="AH76" i="4"/>
  <c r="Z76" i="4"/>
  <c r="BZ76" i="4"/>
  <c r="CG76" i="4"/>
  <c r="CI76" i="4"/>
  <c r="BY76" i="4"/>
  <c r="CF76" i="4"/>
  <c r="CH76" i="4"/>
  <c r="CE76" i="4"/>
  <c r="BM84" i="4"/>
  <c r="CE84" i="4"/>
  <c r="CA84" i="4"/>
  <c r="CC84" i="4"/>
  <c r="AJ84" i="4"/>
  <c r="Z84" i="4"/>
  <c r="CH84" i="4"/>
  <c r="CJ84" i="4"/>
  <c r="CD84" i="4"/>
  <c r="BZ84" i="4"/>
  <c r="BK84" i="4"/>
  <c r="CG84" i="4"/>
  <c r="CI84" i="4"/>
  <c r="CB84" i="4"/>
  <c r="AB84" i="4"/>
  <c r="AH84" i="4"/>
  <c r="CF84" i="4"/>
  <c r="BY84" i="4"/>
  <c r="BY34" i="4"/>
  <c r="BM34" i="4"/>
  <c r="CE34" i="4"/>
  <c r="CJ34" i="4"/>
  <c r="BZ34" i="4"/>
  <c r="CH34" i="4"/>
  <c r="AJ34" i="4"/>
  <c r="Z34" i="4"/>
  <c r="AB34" i="4"/>
  <c r="CB34" i="4"/>
  <c r="CG34" i="4"/>
  <c r="CC34" i="4"/>
  <c r="CF34" i="4"/>
  <c r="CD34" i="4"/>
  <c r="CA34" i="4"/>
  <c r="CI34" i="4"/>
  <c r="BK34" i="4"/>
  <c r="AH34" i="4"/>
  <c r="CC83" i="4"/>
  <c r="CB83" i="4"/>
  <c r="AB83" i="4"/>
  <c r="Z83" i="4"/>
  <c r="CF83" i="4"/>
  <c r="BK83" i="4"/>
  <c r="AJ83" i="4"/>
  <c r="AH83" i="4"/>
  <c r="CD83" i="4"/>
  <c r="CJ83" i="4"/>
  <c r="BM83" i="4"/>
  <c r="CI83" i="4"/>
  <c r="CH83" i="4"/>
  <c r="CE83" i="4"/>
  <c r="BY83" i="4"/>
  <c r="BZ83" i="4"/>
  <c r="CA83" i="4"/>
  <c r="CG83" i="4"/>
  <c r="CA74" i="4"/>
  <c r="CF74" i="4"/>
  <c r="CJ74" i="4"/>
  <c r="Z74" i="4"/>
  <c r="BY74" i="4"/>
  <c r="BK74" i="4"/>
  <c r="AB74" i="4"/>
  <c r="CC74" i="4"/>
  <c r="CE74" i="4"/>
  <c r="BM74" i="4"/>
  <c r="AJ74" i="4"/>
  <c r="CI74" i="4"/>
  <c r="CB74" i="4"/>
  <c r="CG74" i="4"/>
  <c r="CH74" i="4"/>
  <c r="AH74" i="4"/>
  <c r="CQ74" i="4" s="1"/>
  <c r="CR74" i="4" s="1"/>
  <c r="BZ74" i="4"/>
  <c r="CD74" i="4"/>
  <c r="BY37" i="4"/>
  <c r="AH37" i="4"/>
  <c r="BZ37" i="4"/>
  <c r="CI37" i="4"/>
  <c r="CE37" i="4"/>
  <c r="BM37" i="4"/>
  <c r="CF37" i="4"/>
  <c r="AJ37" i="4"/>
  <c r="CH37" i="4"/>
  <c r="CC37" i="4"/>
  <c r="CA37" i="4"/>
  <c r="CG37" i="4"/>
  <c r="BK37" i="4"/>
  <c r="CB37" i="4"/>
  <c r="CD37" i="4"/>
  <c r="AB37" i="4"/>
  <c r="CJ37" i="4"/>
  <c r="Z37" i="4"/>
  <c r="Z93" i="4"/>
  <c r="BM93" i="4"/>
  <c r="CI93" i="4"/>
  <c r="BY93" i="4"/>
  <c r="CJ93" i="4"/>
  <c r="CD93" i="4"/>
  <c r="CF93" i="4"/>
  <c r="AJ93" i="4"/>
  <c r="BZ93" i="4"/>
  <c r="CA93" i="4"/>
  <c r="CG93" i="4"/>
  <c r="AH93" i="4"/>
  <c r="CQ93" i="4" s="1"/>
  <c r="CR93" i="4" s="1"/>
  <c r="BK93" i="4"/>
  <c r="CC93" i="4"/>
  <c r="AB93" i="4"/>
  <c r="CB93" i="4"/>
  <c r="CH93" i="4"/>
  <c r="CE93" i="4"/>
  <c r="CG56" i="4"/>
  <c r="Z56" i="4"/>
  <c r="CA56" i="4"/>
  <c r="CC56" i="4"/>
  <c r="BM56" i="4"/>
  <c r="AH56" i="4"/>
  <c r="CJ56" i="4"/>
  <c r="CE56" i="4"/>
  <c r="CH56" i="4"/>
  <c r="BZ56" i="4"/>
  <c r="BY56" i="4"/>
  <c r="CB56" i="4"/>
  <c r="CI56" i="4"/>
  <c r="CD56" i="4"/>
  <c r="AB56" i="4"/>
  <c r="CF56" i="4"/>
  <c r="AJ56" i="4"/>
  <c r="BK56" i="4"/>
  <c r="CH32" i="4"/>
  <c r="BZ32" i="4"/>
  <c r="CC32" i="4"/>
  <c r="CJ32" i="4"/>
  <c r="CB32" i="4"/>
  <c r="AH32" i="4"/>
  <c r="AB32" i="4"/>
  <c r="Z32" i="4"/>
  <c r="BY32" i="4"/>
  <c r="BK32" i="4"/>
  <c r="BM32" i="4"/>
  <c r="CI32" i="4"/>
  <c r="CD32" i="4"/>
  <c r="CE32" i="4"/>
  <c r="CF32" i="4"/>
  <c r="AJ32" i="4"/>
  <c r="CG32" i="4"/>
  <c r="CA32" i="4"/>
  <c r="AB27" i="4"/>
  <c r="CD27" i="4"/>
  <c r="BZ27" i="4"/>
  <c r="CC27" i="4"/>
  <c r="BY27" i="4"/>
  <c r="CE27" i="4"/>
  <c r="CJ27" i="4"/>
  <c r="CA27" i="4"/>
  <c r="Z27" i="4"/>
  <c r="CB27" i="4"/>
  <c r="AJ27" i="4"/>
  <c r="CI27" i="4"/>
  <c r="BM27" i="4"/>
  <c r="CF27" i="4"/>
  <c r="BK27" i="4"/>
  <c r="AH27" i="4"/>
  <c r="CG27" i="4"/>
  <c r="CH27" i="4"/>
  <c r="CA43" i="4"/>
  <c r="BZ43" i="4"/>
  <c r="CC43" i="4"/>
  <c r="CJ43" i="4"/>
  <c r="Z43" i="4"/>
  <c r="CH43" i="4"/>
  <c r="CD43" i="4"/>
  <c r="BK43" i="4"/>
  <c r="BY43" i="4"/>
  <c r="CI43" i="4"/>
  <c r="CE43" i="4"/>
  <c r="CG43" i="4"/>
  <c r="BM43" i="4"/>
  <c r="CB43" i="4"/>
  <c r="AJ43" i="4"/>
  <c r="AB43" i="4"/>
  <c r="CF43" i="4"/>
  <c r="AH43" i="4"/>
  <c r="CD6" i="4"/>
  <c r="CC6" i="4"/>
  <c r="BZ6" i="4"/>
  <c r="CH6" i="4"/>
  <c r="AH6" i="4"/>
  <c r="AU6" i="69" s="1"/>
  <c r="CI6" i="4"/>
  <c r="Z6" i="4"/>
  <c r="Q6" i="69" s="1"/>
  <c r="CE6" i="4"/>
  <c r="AJ6" i="4"/>
  <c r="AB6" i="4"/>
  <c r="CF6" i="4"/>
  <c r="CJ6" i="4"/>
  <c r="BY6" i="4"/>
  <c r="CA6" i="4"/>
  <c r="BM6" i="4"/>
  <c r="BK6" i="4"/>
  <c r="CG6" i="4"/>
  <c r="CB6" i="4"/>
  <c r="BK10" i="4"/>
  <c r="CC10" i="4"/>
  <c r="CG10" i="4"/>
  <c r="CH10" i="4"/>
  <c r="CE10" i="4"/>
  <c r="CF10" i="4"/>
  <c r="CI10" i="4"/>
  <c r="CD10" i="4"/>
  <c r="BM10" i="4"/>
  <c r="BZ10" i="4"/>
  <c r="AB10" i="4"/>
  <c r="BY10" i="4"/>
  <c r="Z10" i="4"/>
  <c r="CJ10" i="4"/>
  <c r="CB10" i="4"/>
  <c r="CA10" i="4"/>
  <c r="AJ10" i="4"/>
  <c r="AH10" i="4"/>
  <c r="CQ10" i="4" s="1"/>
  <c r="CR10" i="4" s="1"/>
  <c r="CE36" i="4"/>
  <c r="BK36" i="4"/>
  <c r="AB36" i="4"/>
  <c r="CF36" i="4"/>
  <c r="BY36" i="4"/>
  <c r="CG36" i="4"/>
  <c r="CD36" i="4"/>
  <c r="CA36" i="4"/>
  <c r="CI36" i="4"/>
  <c r="BM36" i="4"/>
  <c r="CC36" i="4"/>
  <c r="Z36" i="4"/>
  <c r="BZ36" i="4"/>
  <c r="AJ36" i="4"/>
  <c r="CB36" i="4"/>
  <c r="CJ36" i="4"/>
  <c r="CH36" i="4"/>
  <c r="AH36" i="4"/>
  <c r="CA79" i="4"/>
  <c r="CD79" i="4"/>
  <c r="CI79" i="4"/>
  <c r="BK79" i="4"/>
  <c r="CF79" i="4"/>
  <c r="CH79" i="4"/>
  <c r="AJ79" i="4"/>
  <c r="CG79" i="4"/>
  <c r="CE79" i="4"/>
  <c r="CC79" i="4"/>
  <c r="BZ79" i="4"/>
  <c r="BM79" i="4"/>
  <c r="AH79" i="4"/>
  <c r="Z79" i="4"/>
  <c r="AB79" i="4"/>
  <c r="CJ79" i="4"/>
  <c r="CB79" i="4"/>
  <c r="BY79" i="4"/>
  <c r="CB44" i="4"/>
  <c r="AJ44" i="4"/>
  <c r="CC44" i="4"/>
  <c r="CE44" i="4"/>
  <c r="CG44" i="4"/>
  <c r="BM44" i="4"/>
  <c r="CI44" i="4"/>
  <c r="BZ44" i="4"/>
  <c r="CJ44" i="4"/>
  <c r="AH44" i="4"/>
  <c r="CF44" i="4"/>
  <c r="CA44" i="4"/>
  <c r="AB44" i="4"/>
  <c r="BY44" i="4"/>
  <c r="Z44" i="4"/>
  <c r="CH44" i="4"/>
  <c r="CD44" i="4"/>
  <c r="BK44" i="4"/>
  <c r="Z45" i="4"/>
  <c r="CB45" i="4"/>
  <c r="CF45" i="4"/>
  <c r="BK45" i="4"/>
  <c r="BZ45" i="4"/>
  <c r="CD45" i="4"/>
  <c r="AB45" i="4"/>
  <c r="CC45" i="4"/>
  <c r="BM45" i="4"/>
  <c r="BY45" i="4"/>
  <c r="CH45" i="4"/>
  <c r="CI45" i="4"/>
  <c r="AH45" i="4"/>
  <c r="AJ45" i="4"/>
  <c r="CG45" i="4"/>
  <c r="CA45" i="4"/>
  <c r="CJ45" i="4"/>
  <c r="CE45" i="4"/>
  <c r="D30" i="4"/>
  <c r="A30" i="20"/>
  <c r="AZ30" i="4" a="1"/>
  <c r="AZ30" i="4" s="1"/>
  <c r="BS30" i="4" a="1"/>
  <c r="BS30" i="4" s="1"/>
  <c r="BR30" i="4" a="1"/>
  <c r="BR30" i="4" s="1"/>
  <c r="C30" i="4"/>
  <c r="BR20" i="4" a="1"/>
  <c r="BR20" i="4" s="1"/>
  <c r="D20" i="4"/>
  <c r="A20" i="20"/>
  <c r="C20" i="4"/>
  <c r="BS20" i="4" a="1"/>
  <c r="BS20" i="4" s="1"/>
  <c r="AZ20" i="4" a="1"/>
  <c r="AZ20" i="4" s="1"/>
  <c r="AX53" i="13"/>
  <c r="A152" i="13"/>
  <c r="AX9" i="4" a="1"/>
  <c r="AX9" i="4" s="1"/>
  <c r="AY9" i="4" s="1"/>
  <c r="AV110" i="13" s="1"/>
  <c r="B9" i="4"/>
  <c r="Z28" i="69"/>
  <c r="C38" i="1"/>
  <c r="C49" i="1"/>
  <c r="Z32" i="69"/>
  <c r="Z22" i="69"/>
  <c r="C28" i="1"/>
  <c r="BS86" i="4" a="1"/>
  <c r="BS86" i="4" s="1"/>
  <c r="BR86" i="4" a="1"/>
  <c r="BR86" i="4" s="1"/>
  <c r="D86" i="4"/>
  <c r="AZ86" i="4" a="1"/>
  <c r="AZ86" i="4" s="1"/>
  <c r="A86" i="20"/>
  <c r="C86" i="4"/>
  <c r="AX81" i="4" a="1"/>
  <c r="AX81" i="4" s="1"/>
  <c r="AY81" i="4" s="1"/>
  <c r="AV182" i="13" s="1"/>
  <c r="B81" i="4"/>
  <c r="AZ17" i="4" a="1"/>
  <c r="AZ17" i="4" s="1"/>
  <c r="D17" i="4"/>
  <c r="C17" i="4"/>
  <c r="BS17" i="4" a="1"/>
  <c r="BS17" i="4" s="1"/>
  <c r="A17" i="20"/>
  <c r="BR17" i="4" a="1"/>
  <c r="BR17" i="4" s="1"/>
  <c r="AU79" i="4"/>
  <c r="AP79" i="4"/>
  <c r="AV675" i="13" s="1"/>
  <c r="D70" i="4"/>
  <c r="BR70" i="4" a="1"/>
  <c r="BR70" i="4" s="1"/>
  <c r="C70" i="4"/>
  <c r="A70" i="20"/>
  <c r="AZ70" i="4" a="1"/>
  <c r="AZ70" i="4" s="1"/>
  <c r="BS70" i="4" a="1"/>
  <c r="BS70" i="4" s="1"/>
  <c r="AU44" i="4"/>
  <c r="AP44" i="4"/>
  <c r="AV640" i="13" s="1"/>
  <c r="AZ29" i="4" a="1"/>
  <c r="AZ29" i="4" s="1"/>
  <c r="BS29" i="4" a="1"/>
  <c r="BS29" i="4" s="1"/>
  <c r="A29" i="20"/>
  <c r="BR29" i="4" a="1"/>
  <c r="BR29" i="4" s="1"/>
  <c r="D29" i="4"/>
  <c r="C29" i="4"/>
  <c r="AU16" i="4"/>
  <c r="AP16" i="4"/>
  <c r="AV612" i="13" s="1"/>
  <c r="AX357" i="13"/>
  <c r="A456" i="13"/>
  <c r="AU78" i="4"/>
  <c r="AP78" i="4"/>
  <c r="AV674" i="13" s="1"/>
  <c r="AX71" i="13"/>
  <c r="A170" i="13"/>
  <c r="AX34" i="4" a="1"/>
  <c r="AX34" i="4" s="1"/>
  <c r="AY34" i="4" s="1"/>
  <c r="AV135" i="13" s="1"/>
  <c r="B34" i="4"/>
  <c r="AP8" i="4"/>
  <c r="AV604" i="13" s="1"/>
  <c r="AU8" i="4"/>
  <c r="A125" i="13"/>
  <c r="AX26" i="13"/>
  <c r="AU83" i="4"/>
  <c r="AP83" i="4"/>
  <c r="AV679" i="13" s="1"/>
  <c r="BR89" i="4" a="1"/>
  <c r="BR89" i="4" s="1"/>
  <c r="D89" i="4"/>
  <c r="BS89" i="4" a="1"/>
  <c r="BS89" i="4" s="1"/>
  <c r="AZ89" i="4" a="1"/>
  <c r="AZ89" i="4" s="1"/>
  <c r="A89" i="20"/>
  <c r="C89" i="4"/>
  <c r="CU54" i="4"/>
  <c r="CV54" i="4" s="1"/>
  <c r="AU54" i="4"/>
  <c r="AP54" i="4"/>
  <c r="AV650" i="13" s="1"/>
  <c r="B42" i="4"/>
  <c r="AX42" i="4" a="1"/>
  <c r="AX42" i="4" s="1"/>
  <c r="AY42" i="4" s="1"/>
  <c r="AV143" i="13" s="1"/>
  <c r="B14" i="4"/>
  <c r="AX14" i="4" a="1"/>
  <c r="AX14" i="4" s="1"/>
  <c r="AY14" i="4" s="1"/>
  <c r="AV115" i="13" s="1"/>
  <c r="BS91" i="4" a="1"/>
  <c r="BS91" i="4" s="1"/>
  <c r="BR91" i="4" a="1"/>
  <c r="BR91" i="4" s="1"/>
  <c r="AZ91" i="4" a="1"/>
  <c r="AZ91" i="4" s="1"/>
  <c r="D91" i="4"/>
  <c r="A91" i="20"/>
  <c r="C91" i="4"/>
  <c r="D743" i="13"/>
  <c r="C743" i="13"/>
  <c r="CY48" i="4"/>
  <c r="AV248" i="13"/>
  <c r="B33" i="4"/>
  <c r="AX33" i="4" a="1"/>
  <c r="AX33" i="4" s="1"/>
  <c r="AY33" i="4" s="1"/>
  <c r="AV134" i="13" s="1"/>
  <c r="AX15" i="13"/>
  <c r="A114" i="13"/>
  <c r="B73" i="4"/>
  <c r="AX73" i="4" a="1"/>
  <c r="AX73" i="4" s="1"/>
  <c r="AY73" i="4" s="1"/>
  <c r="AV174" i="13" s="1"/>
  <c r="AU77" i="4"/>
  <c r="AP77" i="4"/>
  <c r="AV673" i="13" s="1"/>
  <c r="C73" i="4"/>
  <c r="D73" i="4"/>
  <c r="A73" i="20"/>
  <c r="BR73" i="4" a="1"/>
  <c r="BR73" i="4" s="1"/>
  <c r="AZ73" i="4" a="1"/>
  <c r="AZ73" i="4" s="1"/>
  <c r="BS73" i="4" a="1"/>
  <c r="BS73" i="4" s="1"/>
  <c r="C28" i="4"/>
  <c r="BS28" i="4" a="1"/>
  <c r="BS28" i="4" s="1"/>
  <c r="BR28" i="4" a="1"/>
  <c r="BR28" i="4" s="1"/>
  <c r="D28" i="4"/>
  <c r="A28" i="20"/>
  <c r="AZ28" i="4" a="1"/>
  <c r="AZ28" i="4" s="1"/>
  <c r="B80" i="4"/>
  <c r="AX80" i="4" a="1"/>
  <c r="AX80" i="4" s="1"/>
  <c r="AY80" i="4" s="1"/>
  <c r="AV181" i="13" s="1"/>
  <c r="AX56" i="13"/>
  <c r="A155" i="13"/>
  <c r="F12" i="5"/>
  <c r="AX72" i="4" s="1" a="1"/>
  <c r="AX72" i="4" s="1"/>
  <c r="AY72" i="4" s="1"/>
  <c r="AV173" i="13" s="1"/>
  <c r="F18" i="5"/>
  <c r="AX65" i="4" s="1" a="1"/>
  <c r="AX65" i="4" s="1"/>
  <c r="AY65" i="4" s="1"/>
  <c r="AV166" i="13" s="1"/>
  <c r="AX95" i="13"/>
  <c r="A194" i="13"/>
  <c r="AP48" i="4"/>
  <c r="AV644" i="13" s="1"/>
  <c r="AU48" i="4"/>
  <c r="A186" i="13"/>
  <c r="AX87" i="13"/>
  <c r="B67" i="4"/>
  <c r="AX67" i="4" a="1"/>
  <c r="AX67" i="4" s="1"/>
  <c r="AY67" i="4" s="1"/>
  <c r="AV168" i="13" s="1"/>
  <c r="A54" i="20"/>
  <c r="D54" i="4"/>
  <c r="AZ54" i="4" a="1"/>
  <c r="AZ54" i="4" s="1"/>
  <c r="BR54" i="4" a="1"/>
  <c r="BR54" i="4" s="1"/>
  <c r="BS54" i="4" a="1"/>
  <c r="BS54" i="4" s="1"/>
  <c r="C54" i="4"/>
  <c r="A131" i="13"/>
  <c r="AX32" i="13"/>
  <c r="A175" i="13"/>
  <c r="AX76" i="13"/>
  <c r="A138" i="13"/>
  <c r="AX39" i="13"/>
  <c r="AU84" i="4"/>
  <c r="CU84" i="4"/>
  <c r="CV84" i="4" s="1"/>
  <c r="AP84" i="4"/>
  <c r="AV680" i="13" s="1"/>
  <c r="BS85" i="4" a="1"/>
  <c r="BS85" i="4" s="1"/>
  <c r="D85" i="4"/>
  <c r="BR85" i="4" a="1"/>
  <c r="BR85" i="4" s="1"/>
  <c r="AZ85" i="4" a="1"/>
  <c r="AZ85" i="4" s="1"/>
  <c r="A85" i="20"/>
  <c r="C85" i="4"/>
  <c r="CU34" i="4"/>
  <c r="CV34" i="4" s="1"/>
  <c r="AU34" i="4"/>
  <c r="AP34" i="4"/>
  <c r="AV630" i="13" s="1"/>
  <c r="AX43" i="4" a="1"/>
  <c r="AX43" i="4" s="1"/>
  <c r="AY43" i="4" s="1"/>
  <c r="AV144" i="13" s="1"/>
  <c r="B43" i="4"/>
  <c r="AU31" i="4"/>
  <c r="AP31" i="4"/>
  <c r="AV627" i="13" s="1"/>
  <c r="A121" i="13"/>
  <c r="AX22" i="13"/>
  <c r="AP26" i="4"/>
  <c r="AV622" i="13" s="1"/>
  <c r="AU26" i="4"/>
  <c r="B75" i="4"/>
  <c r="BS51" i="4" a="1"/>
  <c r="BS51" i="4" s="1"/>
  <c r="AZ51" i="4" a="1"/>
  <c r="AZ51" i="4" s="1"/>
  <c r="BR51" i="4" a="1"/>
  <c r="BR51" i="4" s="1"/>
  <c r="D51" i="4"/>
  <c r="A51" i="20"/>
  <c r="C51" i="4"/>
  <c r="AU42" i="4"/>
  <c r="CU42" i="4"/>
  <c r="CV42" i="4" s="1"/>
  <c r="AP42" i="4"/>
  <c r="AV638" i="13" s="1"/>
  <c r="C24" i="1"/>
  <c r="Z43" i="69"/>
  <c r="C33" i="1"/>
  <c r="C44" i="1"/>
  <c r="Z48" i="69"/>
  <c r="C37" i="1"/>
  <c r="A187" i="13"/>
  <c r="AX88" i="13"/>
  <c r="D756" i="13"/>
  <c r="C756" i="13"/>
  <c r="CY61" i="4"/>
  <c r="AV261" i="13"/>
  <c r="B53" i="4"/>
  <c r="AX53" i="4" a="1"/>
  <c r="AX53" i="4" s="1"/>
  <c r="AY53" i="4" s="1"/>
  <c r="AV154" i="13" s="1"/>
  <c r="C715" i="13"/>
  <c r="CY20" i="4"/>
  <c r="D715" i="13"/>
  <c r="AV220" i="13"/>
  <c r="AP9" i="4"/>
  <c r="AV605" i="13" s="1"/>
  <c r="AU9" i="4"/>
  <c r="A118" i="13"/>
  <c r="AX19" i="13"/>
  <c r="C734" i="13"/>
  <c r="CY39" i="4"/>
  <c r="AV239" i="13"/>
  <c r="D734" i="13"/>
  <c r="C710" i="13"/>
  <c r="AV215" i="13"/>
  <c r="D710" i="13"/>
  <c r="CY15" i="4"/>
  <c r="CY90" i="4"/>
  <c r="AV290" i="13"/>
  <c r="C785" i="13"/>
  <c r="D785" i="13"/>
  <c r="AZ69" i="4" a="1"/>
  <c r="AZ69" i="4" s="1"/>
  <c r="BR69" i="4" a="1"/>
  <c r="BR69" i="4" s="1"/>
  <c r="D69" i="4"/>
  <c r="A69" i="20"/>
  <c r="C69" i="4"/>
  <c r="BS69" i="4" a="1"/>
  <c r="BS69" i="4" s="1"/>
  <c r="C24" i="4"/>
  <c r="A24" i="20"/>
  <c r="BR24" i="4" a="1"/>
  <c r="BR24" i="4" s="1"/>
  <c r="D24" i="4"/>
  <c r="BS24" i="4" a="1"/>
  <c r="BS24" i="4" s="1"/>
  <c r="AZ24" i="4" a="1"/>
  <c r="AZ24" i="4" s="1"/>
  <c r="AX91" i="13"/>
  <c r="A190" i="13"/>
  <c r="D724" i="13"/>
  <c r="AV229" i="13"/>
  <c r="CY29" i="4"/>
  <c r="C724" i="13"/>
  <c r="AU93" i="4"/>
  <c r="AP93" i="4"/>
  <c r="AV689" i="13" s="1"/>
  <c r="A192" i="13"/>
  <c r="AX93" i="13"/>
  <c r="CY12" i="4"/>
  <c r="AV212" i="13"/>
  <c r="C707" i="13"/>
  <c r="D707" i="13"/>
  <c r="A13" i="20"/>
  <c r="C13" i="4"/>
  <c r="BS13" i="4" a="1"/>
  <c r="BS13" i="4" s="1"/>
  <c r="AZ13" i="4" a="1"/>
  <c r="AZ13" i="4" s="1"/>
  <c r="BR13" i="4" a="1"/>
  <c r="BR13" i="4" s="1"/>
  <c r="D13" i="4"/>
  <c r="AX16" i="4" a="1"/>
  <c r="AX16" i="4" s="1"/>
  <c r="AY16" i="4" s="1"/>
  <c r="AV117" i="13" s="1"/>
  <c r="B16" i="4"/>
  <c r="AX75" i="13"/>
  <c r="A174" i="13"/>
  <c r="AP39" i="4"/>
  <c r="AV635" i="13" s="1"/>
  <c r="AU39" i="4"/>
  <c r="AX30" i="13"/>
  <c r="A129" i="13"/>
  <c r="AX30" i="4" a="1"/>
  <c r="AX30" i="4" s="1"/>
  <c r="AY30" i="4" s="1"/>
  <c r="AV131" i="13" s="1"/>
  <c r="B30" i="4"/>
  <c r="C39" i="1"/>
  <c r="Z41" i="69"/>
  <c r="Z53" i="69"/>
  <c r="C43" i="1"/>
  <c r="Z44" i="69"/>
  <c r="Z42" i="69"/>
  <c r="B86" i="4"/>
  <c r="AV277" i="13"/>
  <c r="D772" i="13"/>
  <c r="C772" i="13"/>
  <c r="CY77" i="4"/>
  <c r="CU73" i="4"/>
  <c r="CV73" i="4" s="1"/>
  <c r="AU73" i="4"/>
  <c r="AP73" i="4"/>
  <c r="AV669" i="13" s="1"/>
  <c r="B48" i="4"/>
  <c r="AX48" i="4" a="1"/>
  <c r="AX48" i="4" s="1"/>
  <c r="AY48" i="4" s="1"/>
  <c r="AV149" i="13" s="1"/>
  <c r="AU28" i="4"/>
  <c r="AP28" i="4"/>
  <c r="AV624" i="13" s="1"/>
  <c r="CY95" i="4"/>
  <c r="AV295" i="13"/>
  <c r="C790" i="13"/>
  <c r="D790" i="13"/>
  <c r="C770" i="13"/>
  <c r="CY75" i="4"/>
  <c r="AV275" i="13"/>
  <c r="D770" i="13"/>
  <c r="AU72" i="4"/>
  <c r="AP72" i="4"/>
  <c r="AV668" i="13" s="1"/>
  <c r="AU23" i="4"/>
  <c r="AP23" i="4"/>
  <c r="AV619" i="13" s="1"/>
  <c r="A12" i="20"/>
  <c r="D12" i="4"/>
  <c r="AZ12" i="4" a="1"/>
  <c r="AZ12" i="4" s="1"/>
  <c r="C12" i="4"/>
  <c r="BS12" i="4" a="1"/>
  <c r="BS12" i="4" s="1"/>
  <c r="BR12" i="4" a="1"/>
  <c r="BR12" i="4" s="1"/>
  <c r="AZ63" i="4" a="1"/>
  <c r="AZ63" i="4" s="1"/>
  <c r="BS63" i="4" a="1"/>
  <c r="BS63" i="4" s="1"/>
  <c r="BR63" i="4" a="1"/>
  <c r="BR63" i="4" s="1"/>
  <c r="D63" i="4"/>
  <c r="C63" i="4"/>
  <c r="A63" i="20"/>
  <c r="B38" i="4"/>
  <c r="AX38" i="4" a="1"/>
  <c r="AX38" i="4" s="1"/>
  <c r="AY38" i="4" s="1"/>
  <c r="AV139" i="13" s="1"/>
  <c r="AX3" i="4" a="1"/>
  <c r="AX3" i="4" s="1"/>
  <c r="AY3" i="4" s="1"/>
  <c r="B3" i="4"/>
  <c r="E136" i="15" s="1"/>
  <c r="AX68" i="13"/>
  <c r="A167" i="13"/>
  <c r="B57" i="4"/>
  <c r="B7" i="4"/>
  <c r="E147" i="15" s="1"/>
  <c r="A189" i="13"/>
  <c r="AX90" i="13"/>
  <c r="AX59" i="13"/>
  <c r="A158" i="13"/>
  <c r="A134" i="13"/>
  <c r="AX35" i="13"/>
  <c r="CY91" i="4"/>
  <c r="C786" i="13"/>
  <c r="D786" i="13"/>
  <c r="AV291" i="13"/>
  <c r="AP71" i="4"/>
  <c r="AV667" i="13" s="1"/>
  <c r="AU71" i="4"/>
  <c r="B47" i="4"/>
  <c r="AX47" i="4" a="1"/>
  <c r="AX47" i="4" s="1"/>
  <c r="AY47" i="4" s="1"/>
  <c r="AV148" i="13" s="1"/>
  <c r="C733" i="13"/>
  <c r="D733" i="13"/>
  <c r="AV238" i="13"/>
  <c r="CY38" i="4"/>
  <c r="AP27" i="4"/>
  <c r="AV623" i="13" s="1"/>
  <c r="AU27" i="4"/>
  <c r="BS16" i="4" a="1"/>
  <c r="BS16" i="4" s="1"/>
  <c r="D16" i="4"/>
  <c r="A16" i="20"/>
  <c r="BR16" i="4" a="1"/>
  <c r="BR16" i="4" s="1"/>
  <c r="AZ16" i="4" a="1"/>
  <c r="AZ16" i="4" s="1"/>
  <c r="C16" i="4"/>
  <c r="AX84" i="13"/>
  <c r="A183" i="13"/>
  <c r="A148" i="13"/>
  <c r="AX49" i="13"/>
  <c r="A184" i="13"/>
  <c r="AX85" i="13"/>
  <c r="B41" i="4"/>
  <c r="AX20" i="13"/>
  <c r="A119" i="13"/>
  <c r="A501" i="13"/>
  <c r="AX402" i="13"/>
  <c r="CY82" i="4"/>
  <c r="D777" i="13"/>
  <c r="AV282" i="13"/>
  <c r="C777" i="13"/>
  <c r="AU76" i="4"/>
  <c r="CU76" i="4"/>
  <c r="CV76" i="4" s="1"/>
  <c r="AP76" i="4"/>
  <c r="AV672" i="13" s="1"/>
  <c r="D67" i="4"/>
  <c r="A67" i="20"/>
  <c r="C67" i="4"/>
  <c r="BR67" i="4" a="1"/>
  <c r="BR67" i="4" s="1"/>
  <c r="AZ67" i="4" a="1"/>
  <c r="AZ67" i="4" s="1"/>
  <c r="BS67" i="4" a="1"/>
  <c r="BS67" i="4" s="1"/>
  <c r="AX56" i="4" a="1"/>
  <c r="AX56" i="4" s="1"/>
  <c r="AY56" i="4" s="1"/>
  <c r="AV157" i="13" s="1"/>
  <c r="B56" i="4"/>
  <c r="C25" i="4"/>
  <c r="AZ25" i="4" a="1"/>
  <c r="AZ25" i="4" s="1"/>
  <c r="BS25" i="4" a="1"/>
  <c r="BS25" i="4" s="1"/>
  <c r="D25" i="4"/>
  <c r="BR25" i="4" a="1"/>
  <c r="BR25" i="4" s="1"/>
  <c r="A25" i="20"/>
  <c r="A162" i="13"/>
  <c r="AX63" i="13"/>
  <c r="AV230" i="13"/>
  <c r="D725" i="13"/>
  <c r="C725" i="13"/>
  <c r="CY30" i="4"/>
  <c r="AX9" i="13"/>
  <c r="A108" i="13"/>
  <c r="CY25" i="4"/>
  <c r="AV225" i="13"/>
  <c r="C720" i="13"/>
  <c r="D720" i="13"/>
  <c r="E95" i="4"/>
  <c r="BQ95" i="4" s="1"/>
  <c r="C736" i="13"/>
  <c r="CY41" i="4"/>
  <c r="D736" i="13"/>
  <c r="AV241" i="13"/>
  <c r="AX17" i="13"/>
  <c r="A116" i="13"/>
  <c r="C36" i="1"/>
  <c r="Z31" i="69"/>
  <c r="C41" i="1"/>
  <c r="C30" i="1"/>
  <c r="Z21" i="69"/>
  <c r="Z24" i="69"/>
  <c r="B70" i="4"/>
  <c r="AX70" i="4" a="1"/>
  <c r="AX70" i="4" s="1"/>
  <c r="AY70" i="4" s="1"/>
  <c r="AV171" i="13" s="1"/>
  <c r="AX29" i="4" a="1"/>
  <c r="AX29" i="4" s="1"/>
  <c r="AY29" i="4" s="1"/>
  <c r="AV130" i="13" s="1"/>
  <c r="B29" i="4"/>
  <c r="CY7" i="4"/>
  <c r="C702" i="13"/>
  <c r="D702" i="13"/>
  <c r="AV207" i="13"/>
  <c r="B92" i="4"/>
  <c r="AX92" i="4" a="1"/>
  <c r="AX92" i="4" s="1"/>
  <c r="AY92" i="4" s="1"/>
  <c r="AV193" i="13" s="1"/>
  <c r="AV271" i="13"/>
  <c r="D766" i="13"/>
  <c r="C766" i="13"/>
  <c r="CY71" i="4"/>
  <c r="AV227" i="13"/>
  <c r="D722" i="13"/>
  <c r="C722" i="13"/>
  <c r="CY27" i="4"/>
  <c r="D730" i="13"/>
  <c r="CY35" i="4"/>
  <c r="AV235" i="13"/>
  <c r="C730" i="13"/>
  <c r="A113" i="13"/>
  <c r="AX14" i="13"/>
  <c r="CY81" i="4"/>
  <c r="C776" i="13"/>
  <c r="D776" i="13"/>
  <c r="AV281" i="13"/>
  <c r="AU80" i="4"/>
  <c r="AP80" i="4"/>
  <c r="AV676" i="13" s="1"/>
  <c r="A164" i="13"/>
  <c r="AX65" i="13"/>
  <c r="AV253" i="13"/>
  <c r="CY53" i="4"/>
  <c r="D748" i="13"/>
  <c r="C748" i="13"/>
  <c r="C787" i="13"/>
  <c r="D787" i="13"/>
  <c r="CY92" i="4"/>
  <c r="AV292" i="13"/>
  <c r="AU74" i="4"/>
  <c r="AP74" i="4"/>
  <c r="AV670" i="13" s="1"/>
  <c r="CU74" i="4"/>
  <c r="CV74" i="4" s="1"/>
  <c r="A66" i="20"/>
  <c r="AZ66" i="4" a="1"/>
  <c r="AZ66" i="4" s="1"/>
  <c r="BS66" i="4" a="1"/>
  <c r="BS66" i="4" s="1"/>
  <c r="BR66" i="4" a="1"/>
  <c r="BR66" i="4" s="1"/>
  <c r="D66" i="4"/>
  <c r="C66" i="4"/>
  <c r="B94" i="4"/>
  <c r="BS88" i="4" a="1"/>
  <c r="BS88" i="4" s="1"/>
  <c r="D88" i="4"/>
  <c r="BR88" i="4" a="1"/>
  <c r="BR88" i="4" s="1"/>
  <c r="AZ88" i="4" a="1"/>
  <c r="AZ88" i="4" s="1"/>
  <c r="C88" i="4"/>
  <c r="A88" i="20"/>
  <c r="BR57" i="4" a="1"/>
  <c r="BR57" i="4" s="1"/>
  <c r="A57" i="20"/>
  <c r="BS57" i="4" a="1"/>
  <c r="BS57" i="4" s="1"/>
  <c r="C57" i="4"/>
  <c r="D57" i="4"/>
  <c r="AZ57" i="4" a="1"/>
  <c r="AZ57" i="4" s="1"/>
  <c r="BR33" i="4" a="1"/>
  <c r="BR33" i="4" s="1"/>
  <c r="C33" i="4"/>
  <c r="BS33" i="4" a="1"/>
  <c r="BS33" i="4" s="1"/>
  <c r="D33" i="4"/>
  <c r="A33" i="20"/>
  <c r="AZ33" i="4" a="1"/>
  <c r="AZ33" i="4" s="1"/>
  <c r="A117" i="13"/>
  <c r="AX18" i="13"/>
  <c r="C82" i="4"/>
  <c r="AZ82" i="4" a="1"/>
  <c r="AZ82" i="4" s="1"/>
  <c r="BS82" i="4" a="1"/>
  <c r="BS82" i="4" s="1"/>
  <c r="A82" i="20"/>
  <c r="BR82" i="4" a="1"/>
  <c r="BR82" i="4" s="1"/>
  <c r="D82" i="4"/>
  <c r="B59" i="4"/>
  <c r="C47" i="4"/>
  <c r="AZ47" i="4" a="1"/>
  <c r="AZ47" i="4" s="1"/>
  <c r="BS47" i="4" a="1"/>
  <c r="BS47" i="4" s="1"/>
  <c r="BR47" i="4" a="1"/>
  <c r="BR47" i="4" s="1"/>
  <c r="A47" i="20"/>
  <c r="D47" i="4"/>
  <c r="B18" i="4"/>
  <c r="AX18" i="4" a="1"/>
  <c r="AX18" i="4" s="1"/>
  <c r="AY18" i="4" s="1"/>
  <c r="AV119" i="13" s="1"/>
  <c r="AX69" i="13"/>
  <c r="A168" i="13"/>
  <c r="AP36" i="4"/>
  <c r="AV632" i="13" s="1"/>
  <c r="AU36" i="4"/>
  <c r="CU36" i="4"/>
  <c r="CV36" i="4" s="1"/>
  <c r="A126" i="13"/>
  <c r="AX27" i="13"/>
  <c r="AV286" i="13"/>
  <c r="CY86" i="4"/>
  <c r="D781" i="13"/>
  <c r="C781" i="13"/>
  <c r="AV280" i="13"/>
  <c r="C775" i="13"/>
  <c r="CY80" i="4"/>
  <c r="D775" i="13"/>
  <c r="AU3" i="4"/>
  <c r="AP3" i="4"/>
  <c r="J3" i="69" s="1"/>
  <c r="Z37" i="69"/>
  <c r="Z51" i="69"/>
  <c r="C46" i="1"/>
  <c r="Z39" i="69"/>
  <c r="AX92" i="13"/>
  <c r="A191" i="13"/>
  <c r="B58" i="4"/>
  <c r="AM58" i="4" s="1"/>
  <c r="AV357" i="13" s="1"/>
  <c r="AV456" i="13" s="1"/>
  <c r="B17" i="4"/>
  <c r="E90" i="15" s="1"/>
  <c r="AX12" i="4" a="1"/>
  <c r="AX12" i="4" s="1"/>
  <c r="AY12" i="4" s="1"/>
  <c r="AV113" i="13" s="1"/>
  <c r="B12" i="4"/>
  <c r="E275" i="15" s="1"/>
  <c r="AX84" i="4" a="1"/>
  <c r="AX84" i="4" s="1"/>
  <c r="AY84" i="4" s="1"/>
  <c r="AV185" i="13" s="1"/>
  <c r="B84" i="4"/>
  <c r="C759" i="13"/>
  <c r="AV264" i="13"/>
  <c r="CY64" i="4"/>
  <c r="D759" i="13"/>
  <c r="BS40" i="4" a="1"/>
  <c r="BS40" i="4" s="1"/>
  <c r="A40" i="20"/>
  <c r="C40" i="4"/>
  <c r="AZ40" i="4" a="1"/>
  <c r="AZ40" i="4" s="1"/>
  <c r="D40" i="4"/>
  <c r="BR40" i="4" a="1"/>
  <c r="BR40" i="4" s="1"/>
  <c r="CY22" i="4"/>
  <c r="C717" i="13"/>
  <c r="D717" i="13"/>
  <c r="AV222" i="13"/>
  <c r="AP11" i="4"/>
  <c r="AV607" i="13" s="1"/>
  <c r="AU11" i="4"/>
  <c r="CU11" i="4"/>
  <c r="CV11" i="4" s="1"/>
  <c r="AX26" i="4" a="1"/>
  <c r="AX26" i="4" s="1"/>
  <c r="AY26" i="4" s="1"/>
  <c r="AV127" i="13" s="1"/>
  <c r="B26" i="4"/>
  <c r="AV276" i="13"/>
  <c r="CY76" i="4"/>
  <c r="D771" i="13"/>
  <c r="C771" i="13"/>
  <c r="AU67" i="4"/>
  <c r="AP67" i="4"/>
  <c r="AV663" i="13" s="1"/>
  <c r="B62" i="4"/>
  <c r="D38" i="4"/>
  <c r="BR38" i="4" a="1"/>
  <c r="BR38" i="4" s="1"/>
  <c r="C38" i="4"/>
  <c r="AZ38" i="4" a="1"/>
  <c r="AZ38" i="4" s="1"/>
  <c r="A38" i="20"/>
  <c r="BS38" i="4" a="1"/>
  <c r="BS38" i="4" s="1"/>
  <c r="CU87" i="4"/>
  <c r="CV87" i="4" s="1"/>
  <c r="AU87" i="4"/>
  <c r="AP87" i="4"/>
  <c r="AV683" i="13" s="1"/>
  <c r="A68" i="20"/>
  <c r="BR68" i="4" a="1"/>
  <c r="BR68" i="4" s="1"/>
  <c r="D68" i="4"/>
  <c r="AZ68" i="4" a="1"/>
  <c r="AZ68" i="4" s="1"/>
  <c r="C68" i="4"/>
  <c r="BS68" i="4" a="1"/>
  <c r="BS68" i="4" s="1"/>
  <c r="AP56" i="4"/>
  <c r="AV652" i="13" s="1"/>
  <c r="CU56" i="4"/>
  <c r="CV56" i="4" s="1"/>
  <c r="AU56" i="4"/>
  <c r="AX64" i="13"/>
  <c r="A163" i="13"/>
  <c r="B21" i="4"/>
  <c r="AX21" i="4" a="1"/>
  <c r="AX21" i="4" s="1"/>
  <c r="AY21" i="4" s="1"/>
  <c r="AV122" i="13" s="1"/>
  <c r="D761" i="13"/>
  <c r="AV266" i="13"/>
  <c r="C761" i="13"/>
  <c r="CY66" i="4"/>
  <c r="D721" i="13"/>
  <c r="CY26" i="4"/>
  <c r="C721" i="13"/>
  <c r="AV226" i="13"/>
  <c r="A179" i="13"/>
  <c r="AX80" i="13"/>
  <c r="C752" i="13"/>
  <c r="CY57" i="4"/>
  <c r="D752" i="13"/>
  <c r="AV257" i="13"/>
  <c r="CU46" i="4"/>
  <c r="CV46" i="4" s="1"/>
  <c r="AU46" i="4"/>
  <c r="AP46" i="4"/>
  <c r="AV642" i="13" s="1"/>
  <c r="AX10" i="13"/>
  <c r="A109" i="13"/>
  <c r="D11" i="4"/>
  <c r="C11" i="4"/>
  <c r="AZ11" i="4" a="1"/>
  <c r="AZ11" i="4" s="1"/>
  <c r="BS11" i="4" a="1"/>
  <c r="BS11" i="4" s="1"/>
  <c r="BR11" i="4" a="1"/>
  <c r="BR11" i="4" s="1"/>
  <c r="A11" i="20"/>
  <c r="AU63" i="4"/>
  <c r="AP63" i="4"/>
  <c r="AV659" i="13" s="1"/>
  <c r="C713" i="13"/>
  <c r="D713" i="13"/>
  <c r="AV218" i="13"/>
  <c r="CY18" i="4"/>
  <c r="A178" i="13"/>
  <c r="AX79" i="13"/>
  <c r="C744" i="13"/>
  <c r="D744" i="13"/>
  <c r="CY49" i="4"/>
  <c r="AV249" i="13"/>
  <c r="A60" i="4"/>
  <c r="B161" i="13"/>
  <c r="AP81" i="4"/>
  <c r="AV677" i="13" s="1"/>
  <c r="CU81" i="4"/>
  <c r="CV81" i="4" s="1"/>
  <c r="AU81" i="4"/>
  <c r="D80" i="4"/>
  <c r="BS80" i="4" a="1"/>
  <c r="BS80" i="4" s="1"/>
  <c r="BR80" i="4" a="1"/>
  <c r="BR80" i="4" s="1"/>
  <c r="C80" i="4"/>
  <c r="AZ80" i="4" a="1"/>
  <c r="AZ80" i="4" s="1"/>
  <c r="A80" i="20"/>
  <c r="AU17" i="4"/>
  <c r="CU17" i="4"/>
  <c r="CV17" i="4" s="1"/>
  <c r="AP17" i="4"/>
  <c r="AV613" i="13" s="1"/>
  <c r="A106" i="13"/>
  <c r="AX7" i="13"/>
  <c r="D773" i="13"/>
  <c r="C773" i="13"/>
  <c r="CY78" i="4"/>
  <c r="AV278" i="13"/>
  <c r="CU69" i="4"/>
  <c r="CV69" i="4" s="1"/>
  <c r="AU69" i="4"/>
  <c r="AP69" i="4"/>
  <c r="AV665" i="13" s="1"/>
  <c r="D703" i="13"/>
  <c r="C703" i="13"/>
  <c r="AV208" i="13"/>
  <c r="CY8" i="4"/>
  <c r="AP24" i="4"/>
  <c r="AV620" i="13" s="1"/>
  <c r="AU24" i="4"/>
  <c r="B39" i="4"/>
  <c r="AX39" i="4" a="1"/>
  <c r="AX39" i="4" s="1"/>
  <c r="AY39" i="4" s="1"/>
  <c r="AV140" i="13" s="1"/>
  <c r="AP6" i="4"/>
  <c r="AV602" i="13" s="1"/>
  <c r="AU6" i="4"/>
  <c r="BS77" i="4" a="1"/>
  <c r="BS77" i="4" s="1"/>
  <c r="BR77" i="4" a="1"/>
  <c r="BR77" i="4" s="1"/>
  <c r="C77" i="4"/>
  <c r="AZ77" i="4" a="1"/>
  <c r="AZ77" i="4" s="1"/>
  <c r="D77" i="4"/>
  <c r="A77" i="20"/>
  <c r="D708" i="13"/>
  <c r="CY13" i="4"/>
  <c r="AV213" i="13"/>
  <c r="C708" i="13"/>
  <c r="C27" i="1"/>
  <c r="Z26" i="69"/>
  <c r="Z46" i="69"/>
  <c r="C26" i="1"/>
  <c r="C48" i="1"/>
  <c r="C90" i="4"/>
  <c r="D90" i="4"/>
  <c r="BS90" i="4" a="1"/>
  <c r="BS90" i="4" s="1"/>
  <c r="AZ90" i="4" a="1"/>
  <c r="AZ90" i="4" s="1"/>
  <c r="A90" i="20"/>
  <c r="BR90" i="4" a="1"/>
  <c r="BR90" i="4" s="1"/>
  <c r="B76" i="4"/>
  <c r="AZ53" i="4" a="1"/>
  <c r="AZ53" i="4" s="1"/>
  <c r="BS53" i="4" a="1"/>
  <c r="BS53" i="4" s="1"/>
  <c r="D53" i="4"/>
  <c r="A53" i="20"/>
  <c r="C53" i="4"/>
  <c r="BR53" i="4" a="1"/>
  <c r="BR53" i="4" s="1"/>
  <c r="C738" i="13"/>
  <c r="D738" i="13"/>
  <c r="AV243" i="13"/>
  <c r="CY43" i="4"/>
  <c r="B36" i="4"/>
  <c r="AX36" i="4" a="1"/>
  <c r="AX36" i="4" s="1"/>
  <c r="AY36" i="4" s="1"/>
  <c r="AV137" i="13" s="1"/>
  <c r="A141" i="13"/>
  <c r="AX42" i="13"/>
  <c r="C765" i="13"/>
  <c r="CY70" i="4"/>
  <c r="AV270" i="13"/>
  <c r="D765" i="13"/>
  <c r="AP59" i="4"/>
  <c r="AV655" i="13" s="1"/>
  <c r="AU59" i="4"/>
  <c r="AX40" i="13"/>
  <c r="A139" i="13"/>
  <c r="AX70" i="13"/>
  <c r="A169" i="13"/>
  <c r="A62" i="20"/>
  <c r="D62" i="4"/>
  <c r="C62" i="4"/>
  <c r="BS62" i="4" a="1"/>
  <c r="BS62" i="4" s="1"/>
  <c r="BR62" i="4" a="1"/>
  <c r="BR62" i="4" s="1"/>
  <c r="AZ62" i="4" a="1"/>
  <c r="AZ62" i="4" s="1"/>
  <c r="AP32" i="4"/>
  <c r="AV628" i="13" s="1"/>
  <c r="AU32" i="4"/>
  <c r="B82" i="4"/>
  <c r="AX82" i="4" a="1"/>
  <c r="AX82" i="4" s="1"/>
  <c r="AY82" i="4" s="1"/>
  <c r="AV183" i="13" s="1"/>
  <c r="CU43" i="4"/>
  <c r="CV43" i="4" s="1"/>
  <c r="AP43" i="4"/>
  <c r="AV639" i="13" s="1"/>
  <c r="AU43" i="4"/>
  <c r="AP90" i="4"/>
  <c r="AV686" i="13" s="1"/>
  <c r="AU90" i="4"/>
  <c r="C78" i="4"/>
  <c r="BR78" i="4" a="1"/>
  <c r="BR78" i="4" s="1"/>
  <c r="D78" i="4"/>
  <c r="AZ78" i="4" a="1"/>
  <c r="AZ78" i="4" s="1"/>
  <c r="A78" i="20"/>
  <c r="BS78" i="4" a="1"/>
  <c r="BS78" i="4" s="1"/>
  <c r="A8" i="20"/>
  <c r="AZ8" i="4" a="1"/>
  <c r="AZ8" i="4" s="1"/>
  <c r="BR8" i="4" a="1"/>
  <c r="BR8" i="4" s="1"/>
  <c r="D8" i="4"/>
  <c r="BS8" i="4" a="1"/>
  <c r="BS8" i="4" s="1"/>
  <c r="C8" i="4"/>
  <c r="AX13" i="13"/>
  <c r="A112" i="13"/>
  <c r="AP53" i="4"/>
  <c r="AV649" i="13" s="1"/>
  <c r="AU53" i="4"/>
  <c r="AU92" i="4"/>
  <c r="AP92" i="4"/>
  <c r="AV688" i="13" s="1"/>
  <c r="CY54" i="4"/>
  <c r="C749" i="13"/>
  <c r="AV254" i="13"/>
  <c r="D749" i="13"/>
  <c r="AZ7" i="4" a="1"/>
  <c r="AZ7" i="4" s="1"/>
  <c r="A7" i="20"/>
  <c r="BS7" i="4" a="1"/>
  <c r="BS7" i="4" s="1"/>
  <c r="C7" i="4"/>
  <c r="D7" i="4"/>
  <c r="BR7" i="4" a="1"/>
  <c r="BR7" i="4" s="1"/>
  <c r="B64" i="4"/>
  <c r="A15" i="20"/>
  <c r="AZ15" i="4" a="1"/>
  <c r="AZ15" i="4" s="1"/>
  <c r="BS15" i="4" a="1"/>
  <c r="BS15" i="4" s="1"/>
  <c r="D15" i="4"/>
  <c r="BR15" i="4" a="1"/>
  <c r="BR15" i="4" s="1"/>
  <c r="C15" i="4"/>
  <c r="A181" i="13"/>
  <c r="AX82" i="13"/>
  <c r="AV252" i="13"/>
  <c r="D747" i="13"/>
  <c r="CY52" i="4"/>
  <c r="C747" i="13"/>
  <c r="D723" i="13"/>
  <c r="CY28" i="4"/>
  <c r="AV228" i="13"/>
  <c r="C723" i="13"/>
  <c r="A18" i="20"/>
  <c r="AZ18" i="4" a="1"/>
  <c r="AZ18" i="4" s="1"/>
  <c r="BR18" i="4" a="1"/>
  <c r="BR18" i="4" s="1"/>
  <c r="BS18" i="4" a="1"/>
  <c r="BS18" i="4" s="1"/>
  <c r="C18" i="4"/>
  <c r="D18" i="4"/>
  <c r="Z1250" i="13"/>
  <c r="Z1448" i="13"/>
  <c r="A62" i="13"/>
  <c r="H60" i="4"/>
  <c r="A160" i="13"/>
  <c r="AX61" i="13"/>
  <c r="AZ5" i="4" a="1"/>
  <c r="AZ5" i="4" s="1"/>
  <c r="BS5" i="4" a="1"/>
  <c r="BS5" i="4" s="1"/>
  <c r="D5" i="4"/>
  <c r="BR5" i="4" a="1"/>
  <c r="BR5" i="4" s="1"/>
  <c r="A5" i="20"/>
  <c r="C5" i="4"/>
  <c r="B77" i="4"/>
  <c r="AX77" i="4" a="1"/>
  <c r="AX77" i="4" s="1"/>
  <c r="AY77" i="4" s="1"/>
  <c r="AV178" i="13" s="1"/>
  <c r="AV259" i="13"/>
  <c r="C754" i="13"/>
  <c r="D754" i="13"/>
  <c r="CY59" i="4"/>
  <c r="B51" i="4"/>
  <c r="AX51" i="4" a="1"/>
  <c r="AX51" i="4" s="1"/>
  <c r="AY51" i="4" s="1"/>
  <c r="AV152" i="13" s="1"/>
  <c r="AX27" i="4" a="1"/>
  <c r="AX27" i="4" s="1"/>
  <c r="AY27" i="4" s="1"/>
  <c r="AV128" i="13" s="1"/>
  <c r="B27" i="4"/>
  <c r="AU14" i="4"/>
  <c r="AP14" i="4"/>
  <c r="AV610" i="13" s="1"/>
  <c r="BR71" i="4" a="1"/>
  <c r="BR71" i="4" s="1"/>
  <c r="C71" i="4"/>
  <c r="BS71" i="4" a="1"/>
  <c r="BS71" i="4" s="1"/>
  <c r="D71" i="4"/>
  <c r="A71" i="20"/>
  <c r="AZ71" i="4" a="1"/>
  <c r="AZ71" i="4" s="1"/>
  <c r="AX41" i="13"/>
  <c r="A140" i="13"/>
  <c r="C34" i="1"/>
  <c r="Z34" i="69"/>
  <c r="Z27" i="69"/>
  <c r="Z45" i="69"/>
  <c r="C45" i="1"/>
  <c r="A3" i="69"/>
  <c r="N19" i="69" a="1"/>
  <c r="N19" i="69" s="1"/>
  <c r="AB5" i="69" a="1"/>
  <c r="AB5" i="69" s="1"/>
  <c r="W14" i="69"/>
  <c r="AK3" i="69"/>
  <c r="AB4" i="69" a="1"/>
  <c r="AB4" i="69" s="1"/>
  <c r="V20" i="69"/>
  <c r="V7" i="69"/>
  <c r="A7" i="69"/>
  <c r="A19" i="69"/>
  <c r="AB13" i="69" a="1"/>
  <c r="AB13" i="69" s="1"/>
  <c r="BR3" i="4" a="1"/>
  <c r="BR3" i="4" s="1"/>
  <c r="W16" i="69"/>
  <c r="AK13" i="69"/>
  <c r="Y3" i="69"/>
  <c r="AK12" i="69"/>
  <c r="W10" i="69"/>
  <c r="V12" i="69"/>
  <c r="AK8" i="69"/>
  <c r="Y4" i="69"/>
  <c r="W15" i="69"/>
  <c r="AB11" i="69" a="1"/>
  <c r="AB11" i="69" s="1"/>
  <c r="AB7" i="69" a="1"/>
  <c r="AB7" i="69" s="1"/>
  <c r="AK10" i="69"/>
  <c r="AB10" i="69" a="1"/>
  <c r="AB10" i="69" s="1"/>
  <c r="V11" i="69"/>
  <c r="N11" i="69" a="1"/>
  <c r="N11" i="69" s="1"/>
  <c r="N10" i="69" a="1"/>
  <c r="N10" i="69" s="1"/>
  <c r="A8" i="69"/>
  <c r="V19" i="69"/>
  <c r="AK5" i="69"/>
  <c r="N12" i="69" a="1"/>
  <c r="N12" i="69" s="1"/>
  <c r="Y5" i="69"/>
  <c r="N6" i="69" a="1"/>
  <c r="N6" i="69" s="1"/>
  <c r="N16" i="69" a="1"/>
  <c r="N16" i="69" s="1"/>
  <c r="V5" i="69"/>
  <c r="V16" i="69"/>
  <c r="J478" i="15"/>
  <c r="A12" i="69"/>
  <c r="V14" i="69"/>
  <c r="AK6" i="69"/>
  <c r="J477" i="15"/>
  <c r="BS3" i="4" a="1"/>
  <c r="BS3" i="4" s="1"/>
  <c r="Y14" i="69"/>
  <c r="A5" i="69"/>
  <c r="N3" i="69" a="1"/>
  <c r="N3" i="69" s="1"/>
  <c r="V10" i="69"/>
  <c r="N8" i="69" a="1"/>
  <c r="N8" i="69" s="1"/>
  <c r="W14" i="22"/>
  <c r="Y14" i="22" s="1"/>
  <c r="AB16" i="69" a="1"/>
  <c r="AB16" i="69" s="1"/>
  <c r="AB20" i="69" a="1"/>
  <c r="AB20" i="69" s="1"/>
  <c r="AK4" i="69"/>
  <c r="AK17" i="69"/>
  <c r="W20" i="69"/>
  <c r="V6" i="69"/>
  <c r="W13" i="69"/>
  <c r="V9" i="69"/>
  <c r="AB19" i="69" a="1"/>
  <c r="AB19" i="69" s="1"/>
  <c r="N13" i="69" a="1"/>
  <c r="N13" i="69" s="1"/>
  <c r="A3" i="20"/>
  <c r="J486" i="15"/>
  <c r="Y18" i="69"/>
  <c r="W11" i="69"/>
  <c r="AK18" i="69"/>
  <c r="A6" i="69"/>
  <c r="J481" i="15"/>
  <c r="J484" i="15"/>
  <c r="AK16" i="69"/>
  <c r="AB6" i="69" a="1"/>
  <c r="AB6" i="69" s="1"/>
  <c r="W7" i="69"/>
  <c r="N9" i="69" a="1"/>
  <c r="N9" i="69" s="1"/>
  <c r="W18" i="69"/>
  <c r="V17" i="69"/>
  <c r="AK11" i="69"/>
  <c r="W9" i="69"/>
  <c r="Y6" i="69"/>
  <c r="W5" i="69"/>
  <c r="N15" i="69" a="1"/>
  <c r="N15" i="69" s="1"/>
  <c r="N4" i="69" a="1"/>
  <c r="N4" i="69" s="1"/>
  <c r="E49" i="15"/>
  <c r="N18" i="69" a="1"/>
  <c r="N18" i="69" s="1"/>
  <c r="E430" i="15"/>
  <c r="Y11" i="69"/>
  <c r="A17" i="69"/>
  <c r="A18" i="69"/>
  <c r="AB17" i="69" a="1"/>
  <c r="AB17" i="69" s="1"/>
  <c r="A15" i="69"/>
  <c r="AZ3" i="4" a="1"/>
  <c r="AZ3" i="4" s="1"/>
  <c r="V4" i="69"/>
  <c r="W6" i="69"/>
  <c r="AK7" i="69"/>
  <c r="E208" i="15"/>
  <c r="F208" i="15" s="1" a="1"/>
  <c r="F208" i="15" s="1"/>
  <c r="AB15" i="69" a="1"/>
  <c r="AB15" i="69" s="1"/>
  <c r="N7" i="69" a="1"/>
  <c r="N7" i="69" s="1"/>
  <c r="AB14" i="69" a="1"/>
  <c r="AB14" i="69" s="1"/>
  <c r="AK15" i="69"/>
  <c r="N20" i="69" a="1"/>
  <c r="N20" i="69" s="1"/>
  <c r="D3" i="4"/>
  <c r="Y9" i="69"/>
  <c r="A9" i="69"/>
  <c r="Y19" i="69"/>
  <c r="W17" i="69"/>
  <c r="AC4" i="69"/>
  <c r="W19" i="69"/>
  <c r="A13" i="69"/>
  <c r="Y17" i="69"/>
  <c r="AB3" i="69" a="1"/>
  <c r="AB3" i="69" s="1"/>
  <c r="E341" i="15"/>
  <c r="W4" i="69"/>
  <c r="V13" i="69"/>
  <c r="L4" i="69"/>
  <c r="J487" i="15"/>
  <c r="N14" i="69" a="1"/>
  <c r="N14" i="69" s="1"/>
  <c r="Y16" i="69"/>
  <c r="E372" i="15"/>
  <c r="V3" i="69"/>
  <c r="W3" i="69"/>
  <c r="N17" i="69" a="1"/>
  <c r="N17" i="69" s="1"/>
  <c r="V15" i="69"/>
  <c r="Y7" i="69"/>
  <c r="Y12" i="69"/>
  <c r="A20" i="69"/>
  <c r="Y8" i="69"/>
  <c r="P4" i="69"/>
  <c r="W8" i="69"/>
  <c r="A4" i="69"/>
  <c r="AB12" i="69" a="1"/>
  <c r="AB12" i="69" s="1"/>
  <c r="A14" i="69"/>
  <c r="Y15" i="69"/>
  <c r="AU4" i="69"/>
  <c r="AK14" i="69"/>
  <c r="AB18" i="69" a="1"/>
  <c r="AB18" i="69" s="1"/>
  <c r="V18" i="69"/>
  <c r="V14" i="22"/>
  <c r="AK20" i="69"/>
  <c r="Y10" i="69"/>
  <c r="C3" i="4"/>
  <c r="A16" i="69"/>
  <c r="AB9" i="69" a="1"/>
  <c r="AB9" i="69" s="1"/>
  <c r="N5" i="69" a="1"/>
  <c r="N5" i="69" s="1"/>
  <c r="AB8" i="69" a="1"/>
  <c r="AB8" i="69" s="1"/>
  <c r="A10" i="69"/>
  <c r="Q4" i="69"/>
  <c r="E43" i="15"/>
  <c r="A11" i="69"/>
  <c r="V8" i="69"/>
  <c r="AK9" i="69"/>
  <c r="Y13" i="69"/>
  <c r="Y20" i="69"/>
  <c r="W12" i="69"/>
  <c r="AT4" i="69"/>
  <c r="AK19" i="69"/>
  <c r="E318" i="15"/>
  <c r="E326" i="15"/>
  <c r="E117" i="15"/>
  <c r="J16" i="69"/>
  <c r="J8" i="69"/>
  <c r="E387" i="15"/>
  <c r="E71" i="15"/>
  <c r="E156" i="15"/>
  <c r="E134" i="15"/>
  <c r="E144" i="15"/>
  <c r="E486" i="15"/>
  <c r="E371" i="15"/>
  <c r="E47" i="15"/>
  <c r="J9" i="69"/>
  <c r="A176" i="13"/>
  <c r="AX77" i="13"/>
  <c r="AP57" i="4"/>
  <c r="AV653" i="13" s="1"/>
  <c r="CU57" i="4"/>
  <c r="CV57" i="4" s="1"/>
  <c r="AU57" i="4"/>
  <c r="A147" i="13"/>
  <c r="AX48" i="13"/>
  <c r="BR35" i="4" a="1"/>
  <c r="BR35" i="4" s="1"/>
  <c r="A35" i="20"/>
  <c r="C35" i="4"/>
  <c r="D35" i="4"/>
  <c r="BS35" i="4" a="1"/>
  <c r="BS35" i="4" s="1"/>
  <c r="AZ35" i="4" a="1"/>
  <c r="AZ35" i="4" s="1"/>
  <c r="AX4" i="4" a="1"/>
  <c r="AX4" i="4" s="1"/>
  <c r="AY4" i="4" s="1"/>
  <c r="B4" i="4"/>
  <c r="CW4" i="4" s="1" a="1"/>
  <c r="CW4" i="4" s="1"/>
  <c r="A154" i="13"/>
  <c r="AX55" i="13"/>
  <c r="C48" i="4"/>
  <c r="BR48" i="4" a="1"/>
  <c r="BR48" i="4" s="1"/>
  <c r="AZ48" i="4" a="1"/>
  <c r="AZ48" i="4" s="1"/>
  <c r="BS48" i="4" a="1"/>
  <c r="BS48" i="4" s="1"/>
  <c r="D48" i="4"/>
  <c r="A48" i="20"/>
  <c r="AX31" i="4" a="1"/>
  <c r="AX31" i="4" s="1"/>
  <c r="AY31" i="4" s="1"/>
  <c r="AV132" i="13" s="1"/>
  <c r="B31" i="4"/>
  <c r="AX91" i="4" a="1"/>
  <c r="AX91" i="4" s="1"/>
  <c r="AY91" i="4" s="1"/>
  <c r="AV192" i="13" s="1"/>
  <c r="B91" i="4"/>
  <c r="AP55" i="4"/>
  <c r="AV651" i="13" s="1"/>
  <c r="CU55" i="4"/>
  <c r="CV55" i="4" s="1"/>
  <c r="AU55" i="4"/>
  <c r="B88" i="4"/>
  <c r="AX88" i="4" a="1"/>
  <c r="AX88" i="4" s="1"/>
  <c r="AY88" i="4" s="1"/>
  <c r="AV189" i="13" s="1"/>
  <c r="AX44" i="13"/>
  <c r="A143" i="13"/>
  <c r="AU37" i="4"/>
  <c r="AP37" i="4"/>
  <c r="AV633" i="13" s="1"/>
  <c r="CU37" i="4"/>
  <c r="CV37" i="4" s="1"/>
  <c r="AX28" i="13"/>
  <c r="A127" i="13"/>
  <c r="AX11" i="4" a="1"/>
  <c r="AX11" i="4" s="1"/>
  <c r="AY11" i="4" s="1"/>
  <c r="B11" i="4"/>
  <c r="AV245" i="13"/>
  <c r="D740" i="13"/>
  <c r="CY45" i="4"/>
  <c r="C740" i="13"/>
  <c r="AP85" i="4"/>
  <c r="AV681" i="13" s="1"/>
  <c r="AU85" i="4"/>
  <c r="D65" i="4"/>
  <c r="AZ65" i="4" a="1"/>
  <c r="AZ65" i="4" s="1"/>
  <c r="BR65" i="4" a="1"/>
  <c r="BR65" i="4" s="1"/>
  <c r="BS65" i="4" a="1"/>
  <c r="BS65" i="4" s="1"/>
  <c r="C65" i="4"/>
  <c r="A65" i="20"/>
  <c r="CY34" i="4"/>
  <c r="C729" i="13"/>
  <c r="D729" i="13"/>
  <c r="AV234" i="13"/>
  <c r="AU20" i="4"/>
  <c r="AP20" i="4"/>
  <c r="B78" i="4"/>
  <c r="A153" i="13"/>
  <c r="AX54" i="13"/>
  <c r="AV242" i="13"/>
  <c r="D737" i="13"/>
  <c r="C737" i="13"/>
  <c r="CY42" i="4"/>
  <c r="B8" i="4"/>
  <c r="CY88" i="4"/>
  <c r="D783" i="13"/>
  <c r="AV288" i="13"/>
  <c r="C783" i="13"/>
  <c r="A173" i="13"/>
  <c r="AX74" i="13"/>
  <c r="AX25" i="13"/>
  <c r="A124" i="13"/>
  <c r="AU10" i="4"/>
  <c r="AP10" i="4"/>
  <c r="CU10" i="4"/>
  <c r="CV10" i="4" s="1"/>
  <c r="B35" i="4"/>
  <c r="AX35" i="4" a="1"/>
  <c r="AX35" i="4" s="1"/>
  <c r="AY35" i="4" s="1"/>
  <c r="AV136" i="13" s="1"/>
  <c r="M60" i="4"/>
  <c r="Z755" i="13"/>
  <c r="K3" i="1" s="1" a="1"/>
  <c r="K3" i="1" s="1"/>
  <c r="K98" i="1" s="1"/>
  <c r="D700" i="13"/>
  <c r="CY5" i="4"/>
  <c r="AV205" i="13"/>
  <c r="C700" i="13"/>
  <c r="AV293" i="13"/>
  <c r="CY93" i="4"/>
  <c r="D788" i="13"/>
  <c r="C788" i="13"/>
  <c r="C39" i="4"/>
  <c r="AZ39" i="4" a="1"/>
  <c r="AZ39" i="4" s="1"/>
  <c r="BR39" i="4" a="1"/>
  <c r="BR39" i="4" s="1"/>
  <c r="D39" i="4"/>
  <c r="A39" i="20"/>
  <c r="BS39" i="4" a="1"/>
  <c r="BS39" i="4" s="1"/>
  <c r="C31" i="1"/>
  <c r="C21" i="1"/>
  <c r="Z25" i="69"/>
  <c r="Z38" i="69"/>
  <c r="Z40" i="69"/>
  <c r="Z30" i="69"/>
  <c r="C53" i="1"/>
  <c r="B55" i="4"/>
  <c r="CU88" i="4"/>
  <c r="CV88" i="4" s="1"/>
  <c r="AU88" i="4"/>
  <c r="AP88" i="4"/>
  <c r="AV684" i="13" s="1"/>
  <c r="BS75" i="4" a="1"/>
  <c r="BS75" i="4" s="1"/>
  <c r="A75" i="20"/>
  <c r="C75" i="4"/>
  <c r="BR75" i="4" a="1"/>
  <c r="BR75" i="4" s="1"/>
  <c r="D75" i="4"/>
  <c r="AZ75" i="4" a="1"/>
  <c r="AZ75" i="4" s="1"/>
  <c r="D46" i="4"/>
  <c r="BS46" i="4" a="1"/>
  <c r="BS46" i="4" s="1"/>
  <c r="A46" i="20"/>
  <c r="AZ46" i="4" a="1"/>
  <c r="AZ46" i="4" s="1"/>
  <c r="C46" i="4"/>
  <c r="BR46" i="4" a="1"/>
  <c r="BR46" i="4" s="1"/>
  <c r="AX37" i="13"/>
  <c r="A136" i="13"/>
  <c r="D701" i="13"/>
  <c r="C701" i="13"/>
  <c r="CY6" i="4"/>
  <c r="AV206" i="13"/>
  <c r="AU52" i="4"/>
  <c r="AP52" i="4"/>
  <c r="AV648" i="13" s="1"/>
  <c r="AX24" i="4" a="1"/>
  <c r="AX24" i="4" s="1"/>
  <c r="AY24" i="4" s="1"/>
  <c r="AV125" i="13" s="1"/>
  <c r="B24" i="4"/>
  <c r="AX11" i="13"/>
  <c r="A110" i="13"/>
  <c r="AX89" i="4" a="1"/>
  <c r="AX89" i="4" s="1"/>
  <c r="AY89" i="4" s="1"/>
  <c r="AV190" i="13" s="1"/>
  <c r="B89" i="4"/>
  <c r="AX50" i="13"/>
  <c r="A149" i="13"/>
  <c r="C705" i="13"/>
  <c r="CY10" i="4"/>
  <c r="D705" i="13"/>
  <c r="AV210" i="13"/>
  <c r="CY58" i="4"/>
  <c r="C753" i="13"/>
  <c r="AV258" i="13"/>
  <c r="D753" i="13"/>
  <c r="B50" i="4"/>
  <c r="CY69" i="4"/>
  <c r="C764" i="13"/>
  <c r="AV269" i="13"/>
  <c r="D764" i="13"/>
  <c r="BS42" i="4" a="1"/>
  <c r="BS42" i="4" s="1"/>
  <c r="C42" i="4"/>
  <c r="AZ42" i="4" a="1"/>
  <c r="AZ42" i="4" s="1"/>
  <c r="A42" i="20"/>
  <c r="BR42" i="4" a="1"/>
  <c r="BR42" i="4" s="1"/>
  <c r="D42" i="4"/>
  <c r="BS26" i="4" a="1"/>
  <c r="BS26" i="4" s="1"/>
  <c r="BR26" i="4" a="1"/>
  <c r="BR26" i="4" s="1"/>
  <c r="C26" i="4"/>
  <c r="D26" i="4"/>
  <c r="AZ26" i="4" a="1"/>
  <c r="AZ26" i="4" s="1"/>
  <c r="A26" i="20"/>
  <c r="C779" i="13"/>
  <c r="AV284" i="13"/>
  <c r="D779" i="13"/>
  <c r="CY84" i="4"/>
  <c r="AX67" i="13"/>
  <c r="A166" i="13"/>
  <c r="AV231" i="13"/>
  <c r="C726" i="13"/>
  <c r="D726" i="13"/>
  <c r="CY31" i="4"/>
  <c r="CU7" i="4"/>
  <c r="CV7" i="4" s="1"/>
  <c r="AU7" i="4"/>
  <c r="AP7" i="4"/>
  <c r="D52" i="4"/>
  <c r="AZ52" i="4" a="1"/>
  <c r="AZ52" i="4" s="1"/>
  <c r="C52" i="4"/>
  <c r="BS52" i="4" a="1"/>
  <c r="BS52" i="4" s="1"/>
  <c r="A52" i="20"/>
  <c r="BR52" i="4" a="1"/>
  <c r="BR52" i="4" s="1"/>
  <c r="CQ95" i="4"/>
  <c r="CR95" i="4" s="1"/>
  <c r="AE95" i="4"/>
  <c r="AV1384" i="13" s="1"/>
  <c r="CX95" i="4"/>
  <c r="CW95" i="4" a="1"/>
  <c r="CW95" i="4" s="1"/>
  <c r="AP95" i="4"/>
  <c r="AV691" i="13" s="1"/>
  <c r="CS95" i="4"/>
  <c r="CT95" i="4" s="1"/>
  <c r="BA95" i="4"/>
  <c r="F95" i="4"/>
  <c r="AA95" i="4"/>
  <c r="F95" i="69" s="1"/>
  <c r="AU95" i="4"/>
  <c r="AI95" i="4"/>
  <c r="I95" i="69" s="1"/>
  <c r="W95" i="4"/>
  <c r="AV1285" i="13" s="1"/>
  <c r="AP75" i="4"/>
  <c r="AV671" i="13" s="1"/>
  <c r="AU75" i="4"/>
  <c r="BS72" i="4" a="1"/>
  <c r="BS72" i="4" s="1"/>
  <c r="D72" i="4"/>
  <c r="BR72" i="4" a="1"/>
  <c r="BR72" i="4" s="1"/>
  <c r="A72" i="20"/>
  <c r="C72" i="4"/>
  <c r="AZ72" i="4" a="1"/>
  <c r="AZ72" i="4" s="1"/>
  <c r="AV262" i="13"/>
  <c r="D757" i="13"/>
  <c r="C757" i="13"/>
  <c r="CY62" i="4"/>
  <c r="AU35" i="4"/>
  <c r="AP35" i="4"/>
  <c r="AV631" i="13" s="1"/>
  <c r="AZ23" i="4" a="1"/>
  <c r="AZ23" i="4" s="1"/>
  <c r="BS23" i="4" a="1"/>
  <c r="BS23" i="4" s="1"/>
  <c r="BR23" i="4" a="1"/>
  <c r="BR23" i="4" s="1"/>
  <c r="C23" i="4"/>
  <c r="D23" i="4"/>
  <c r="A23" i="20"/>
  <c r="AX45" i="4" a="1"/>
  <c r="AX45" i="4" s="1"/>
  <c r="AY45" i="4" s="1"/>
  <c r="AV146" i="13" s="1"/>
  <c r="B45" i="4"/>
  <c r="CY79" i="4"/>
  <c r="C774" i="13"/>
  <c r="AV279" i="13"/>
  <c r="D774" i="13"/>
  <c r="AU70" i="4"/>
  <c r="AP70" i="4"/>
  <c r="AV666" i="13" s="1"/>
  <c r="C59" i="4"/>
  <c r="S92" i="22"/>
  <c r="BS59" i="4" a="1"/>
  <c r="BS59" i="4" s="1"/>
  <c r="A59" i="20"/>
  <c r="D59" i="4"/>
  <c r="BR59" i="4" a="1"/>
  <c r="BR59" i="4" s="1"/>
  <c r="AZ59" i="4" a="1"/>
  <c r="AZ59" i="4" s="1"/>
  <c r="B37" i="4"/>
  <c r="AX37" i="4" a="1"/>
  <c r="AX37" i="4" s="1"/>
  <c r="AY37" i="4" s="1"/>
  <c r="AV138" i="13" s="1"/>
  <c r="D711" i="13"/>
  <c r="C711" i="13"/>
  <c r="AV216" i="13"/>
  <c r="CY16" i="4"/>
  <c r="CX4" i="4"/>
  <c r="AJ4" i="69" s="1"/>
  <c r="AP4" i="4"/>
  <c r="CQ4" i="4"/>
  <c r="CR4" i="4" s="1"/>
  <c r="AU4" i="4"/>
  <c r="CY55" i="4"/>
  <c r="D750" i="13"/>
  <c r="AV255" i="13"/>
  <c r="C750" i="13"/>
  <c r="AV272" i="13"/>
  <c r="CY72" i="4"/>
  <c r="C767" i="13"/>
  <c r="D767" i="13"/>
  <c r="AX43" i="13"/>
  <c r="A142" i="13"/>
  <c r="AV223" i="13"/>
  <c r="D718" i="13"/>
  <c r="C718" i="13"/>
  <c r="CY23" i="4"/>
  <c r="AU91" i="4"/>
  <c r="AP91" i="4"/>
  <c r="AV687" i="13" s="1"/>
  <c r="AX73" i="13"/>
  <c r="A172" i="13"/>
  <c r="AU58" i="4"/>
  <c r="AP58" i="4"/>
  <c r="AV654" i="13" s="1"/>
  <c r="CQ58" i="4"/>
  <c r="CR58" i="4" s="1"/>
  <c r="CX58" i="4"/>
  <c r="AX49" i="4" a="1"/>
  <c r="AX49" i="4" s="1"/>
  <c r="AY49" i="4" s="1"/>
  <c r="AV150" i="13" s="1"/>
  <c r="B49" i="4"/>
  <c r="B25" i="4"/>
  <c r="B87" i="4"/>
  <c r="AX87" i="4" a="1"/>
  <c r="AX87" i="4" s="1"/>
  <c r="AY87" i="4" s="1"/>
  <c r="AV188" i="13" s="1"/>
  <c r="BS41" i="4" a="1"/>
  <c r="BS41" i="4" s="1"/>
  <c r="A41" i="20"/>
  <c r="BR41" i="4" a="1"/>
  <c r="BR41" i="4" s="1"/>
  <c r="C41" i="4"/>
  <c r="AZ41" i="4" a="1"/>
  <c r="AZ41" i="4" s="1"/>
  <c r="D41" i="4"/>
  <c r="AU38" i="4"/>
  <c r="CU38" i="4"/>
  <c r="CV38" i="4" s="1"/>
  <c r="AP38" i="4"/>
  <c r="AV634" i="13" s="1"/>
  <c r="AX22" i="4" a="1"/>
  <c r="AX22" i="4" s="1"/>
  <c r="AY22" i="4" s="1"/>
  <c r="AV123" i="13" s="1"/>
  <c r="B22" i="4"/>
  <c r="AX21" i="13"/>
  <c r="A120" i="13"/>
  <c r="Z54" i="69"/>
  <c r="C23" i="1"/>
  <c r="Z35" i="69"/>
  <c r="Z49" i="69"/>
  <c r="C40" i="1"/>
  <c r="C29" i="1"/>
  <c r="CY21" i="4"/>
  <c r="D716" i="13"/>
  <c r="C716" i="13"/>
  <c r="AV221" i="13"/>
  <c r="AV287" i="13"/>
  <c r="D782" i="13"/>
  <c r="C782" i="13"/>
  <c r="CY87" i="4"/>
  <c r="AX66" i="13"/>
  <c r="A165" i="13"/>
  <c r="A123" i="13"/>
  <c r="AX24" i="13"/>
  <c r="D709" i="13"/>
  <c r="CY14" i="4"/>
  <c r="C709" i="13"/>
  <c r="AV214" i="13"/>
  <c r="B69" i="4"/>
  <c r="AX69" i="4" a="1"/>
  <c r="AX69" i="4" s="1"/>
  <c r="AY69" i="4" s="1"/>
  <c r="AV170" i="13" s="1"/>
  <c r="A9" i="20"/>
  <c r="D9" i="4"/>
  <c r="BS9" i="4" a="1"/>
  <c r="BS9" i="4" s="1"/>
  <c r="BR9" i="4" a="1"/>
  <c r="BR9" i="4" s="1"/>
  <c r="AZ9" i="4" a="1"/>
  <c r="AZ9" i="4" s="1"/>
  <c r="C9" i="4"/>
  <c r="A193" i="13"/>
  <c r="AX94" i="13"/>
  <c r="B63" i="4"/>
  <c r="CU47" i="4"/>
  <c r="CV47" i="4" s="1"/>
  <c r="AP47" i="4"/>
  <c r="AV643" i="13" s="1"/>
  <c r="AU47" i="4"/>
  <c r="A132" i="13"/>
  <c r="AX33" i="13"/>
  <c r="B68" i="4"/>
  <c r="AX52" i="13"/>
  <c r="A151" i="13"/>
  <c r="AU41" i="4"/>
  <c r="AP41" i="4"/>
  <c r="AV637" i="13" s="1"/>
  <c r="CU41" i="4"/>
  <c r="CV41" i="4" s="1"/>
  <c r="AU25" i="4"/>
  <c r="AP25" i="4"/>
  <c r="AV621" i="13" s="1"/>
  <c r="C14" i="4"/>
  <c r="D14" i="4"/>
  <c r="BR14" i="4" a="1"/>
  <c r="BR14" i="4" s="1"/>
  <c r="BS14" i="4" a="1"/>
  <c r="BS14" i="4" s="1"/>
  <c r="AZ14" i="4" a="1"/>
  <c r="AZ14" i="4" s="1"/>
  <c r="A14" i="20"/>
  <c r="AP61" i="4"/>
  <c r="AV657" i="13" s="1"/>
  <c r="AU61" i="4"/>
  <c r="CU61" i="4"/>
  <c r="CV61" i="4" s="1"/>
  <c r="B44" i="4"/>
  <c r="AX44" i="4" a="1"/>
  <c r="AX44" i="4" s="1"/>
  <c r="AY44" i="4" s="1"/>
  <c r="AV145" i="13" s="1"/>
  <c r="C714" i="13"/>
  <c r="AV219" i="13"/>
  <c r="CY19" i="4"/>
  <c r="D714" i="13"/>
  <c r="AU51" i="4"/>
  <c r="AP51" i="4"/>
  <c r="AV647" i="13" s="1"/>
  <c r="AP21" i="4"/>
  <c r="AV617" i="13" s="1"/>
  <c r="AU21" i="4"/>
  <c r="CU21" i="4"/>
  <c r="CV21" i="4" s="1"/>
  <c r="CU64" i="4"/>
  <c r="CV64" i="4" s="1"/>
  <c r="AU64" i="4"/>
  <c r="AP64" i="4"/>
  <c r="AV660" i="13" s="1"/>
  <c r="CY33" i="4"/>
  <c r="D728" i="13"/>
  <c r="AV233" i="13"/>
  <c r="C728" i="13"/>
  <c r="B5" i="4"/>
  <c r="E370" i="15" s="1"/>
  <c r="E62" i="13"/>
  <c r="BP60" i="4"/>
  <c r="B20" i="4"/>
  <c r="B71" i="4"/>
  <c r="AX71" i="4" a="1"/>
  <c r="AX71" i="4" s="1"/>
  <c r="AY71" i="4" s="1"/>
  <c r="AV172" i="13" s="1"/>
  <c r="AX15" i="4" a="1"/>
  <c r="AX15" i="4" s="1"/>
  <c r="AY15" i="4" s="1"/>
  <c r="B15" i="4"/>
  <c r="AV274" i="13"/>
  <c r="C769" i="13"/>
  <c r="D769" i="13"/>
  <c r="CY74" i="4"/>
  <c r="AP66" i="4"/>
  <c r="AV662" i="13" s="1"/>
  <c r="AU66" i="4"/>
  <c r="B46" i="4"/>
  <c r="A19" i="20"/>
  <c r="AZ19" i="4" a="1"/>
  <c r="AZ19" i="4" s="1"/>
  <c r="D19" i="4"/>
  <c r="BR19" i="4" a="1"/>
  <c r="BR19" i="4" s="1"/>
  <c r="C19" i="4"/>
  <c r="BS19" i="4" a="1"/>
  <c r="BS19" i="4" s="1"/>
  <c r="Z52" i="69"/>
  <c r="C25" i="1"/>
  <c r="B98" i="1" s="1"/>
  <c r="C47" i="1"/>
  <c r="C50" i="1"/>
  <c r="CY3" i="4"/>
  <c r="AV203" i="13"/>
  <c r="D698" i="13"/>
  <c r="I1690" i="13"/>
  <c r="C698" i="13"/>
  <c r="AX1690" i="13"/>
  <c r="AU68" i="4"/>
  <c r="AP68" i="4"/>
  <c r="AV664" i="13" s="1"/>
  <c r="AZ64" i="4" a="1"/>
  <c r="AZ64" i="4" s="1"/>
  <c r="C64" i="4"/>
  <c r="BR64" i="4" a="1"/>
  <c r="BR64" i="4" s="1"/>
  <c r="BS64" i="4" a="1"/>
  <c r="BS64" i="4" s="1"/>
  <c r="A64" i="20"/>
  <c r="D64" i="4"/>
  <c r="C751" i="13"/>
  <c r="D751" i="13"/>
  <c r="CY56" i="4"/>
  <c r="AV256" i="13"/>
  <c r="AU62" i="4"/>
  <c r="AP62" i="4"/>
  <c r="AV658" i="13" s="1"/>
  <c r="AU33" i="4"/>
  <c r="AP33" i="4"/>
  <c r="AV629" i="13" s="1"/>
  <c r="D22" i="4"/>
  <c r="AZ22" i="4" a="1"/>
  <c r="AZ22" i="4" s="1"/>
  <c r="A22" i="20"/>
  <c r="BR22" i="4" a="1"/>
  <c r="BR22" i="4" s="1"/>
  <c r="BS22" i="4" a="1"/>
  <c r="BS22" i="4" s="1"/>
  <c r="C22" i="4"/>
  <c r="D81" i="4"/>
  <c r="BR81" i="4" a="1"/>
  <c r="BR81" i="4" s="1"/>
  <c r="BS81" i="4" a="1"/>
  <c r="BS81" i="4" s="1"/>
  <c r="AZ81" i="4" a="1"/>
  <c r="AZ81" i="4" s="1"/>
  <c r="A81" i="20"/>
  <c r="C81" i="4"/>
  <c r="B40" i="4"/>
  <c r="CU15" i="4"/>
  <c r="CV15" i="4" s="1"/>
  <c r="AU15" i="4"/>
  <c r="AP15" i="4"/>
  <c r="A92" i="20"/>
  <c r="BR92" i="4" a="1"/>
  <c r="BR92" i="4" s="1"/>
  <c r="D92" i="4"/>
  <c r="BS92" i="4" a="1"/>
  <c r="BS92" i="4" s="1"/>
  <c r="C92" i="4"/>
  <c r="AZ92" i="4" a="1"/>
  <c r="AZ92" i="4" s="1"/>
  <c r="AX19" i="4" a="1"/>
  <c r="AX19" i="4" s="1"/>
  <c r="AY19" i="4" s="1"/>
  <c r="M19" i="69" s="1"/>
  <c r="B19" i="4"/>
  <c r="AP5" i="4"/>
  <c r="AU5" i="4"/>
  <c r="AX66" i="4" a="1"/>
  <c r="AX66" i="4" s="1"/>
  <c r="AY66" i="4" s="1"/>
  <c r="AV167" i="13" s="1"/>
  <c r="B66" i="4"/>
  <c r="C31" i="4"/>
  <c r="AZ31" i="4" a="1"/>
  <c r="AZ31" i="4" s="1"/>
  <c r="A31" i="20"/>
  <c r="BR31" i="4" a="1"/>
  <c r="BR31" i="4" s="1"/>
  <c r="BS31" i="4" a="1"/>
  <c r="BS31" i="4" s="1"/>
  <c r="D31" i="4"/>
  <c r="CU18" i="4"/>
  <c r="CV18" i="4" s="1"/>
  <c r="AP18" i="4"/>
  <c r="AV614" i="13" s="1"/>
  <c r="AU18" i="4"/>
  <c r="D50" i="4"/>
  <c r="A50" i="20"/>
  <c r="C50" i="4"/>
  <c r="BR50" i="4" a="1"/>
  <c r="BR50" i="4" s="1"/>
  <c r="AZ50" i="4" a="1"/>
  <c r="AZ50" i="4" s="1"/>
  <c r="BS50" i="4" a="1"/>
  <c r="BS50" i="4" s="1"/>
  <c r="AV236" i="13"/>
  <c r="C731" i="13"/>
  <c r="CY36" i="4"/>
  <c r="D731" i="13"/>
  <c r="AX16" i="13"/>
  <c r="A115" i="13"/>
  <c r="AP86" i="4"/>
  <c r="AV682" i="13" s="1"/>
  <c r="AU86" i="4"/>
  <c r="CY89" i="4"/>
  <c r="C784" i="13"/>
  <c r="D784" i="13"/>
  <c r="AV289" i="13"/>
  <c r="B23" i="4"/>
  <c r="AX23" i="4" a="1"/>
  <c r="AX23" i="4" s="1"/>
  <c r="AY23" i="4" s="1"/>
  <c r="AV124" i="13" s="1"/>
  <c r="CY68" i="4"/>
  <c r="AV268" i="13"/>
  <c r="C763" i="13"/>
  <c r="D763" i="13"/>
  <c r="B54" i="4"/>
  <c r="AX54" i="4" a="1"/>
  <c r="AX54" i="4" s="1"/>
  <c r="AY54" i="4" s="1"/>
  <c r="AV155" i="13" s="1"/>
  <c r="AP22" i="4"/>
  <c r="AV618" i="13" s="1"/>
  <c r="AU22" i="4"/>
  <c r="AV283" i="13"/>
  <c r="C778" i="13"/>
  <c r="CY83" i="4"/>
  <c r="D778" i="13"/>
  <c r="AU89" i="4"/>
  <c r="CU89" i="4"/>
  <c r="CV89" i="4" s="1"/>
  <c r="AP89" i="4"/>
  <c r="AV685" i="13" s="1"/>
  <c r="BR61" i="4" a="1"/>
  <c r="BR61" i="4" s="1"/>
  <c r="AZ61" i="4" a="1"/>
  <c r="AZ61" i="4" s="1"/>
  <c r="D61" i="4"/>
  <c r="C61" i="4"/>
  <c r="BS61" i="4" a="1"/>
  <c r="BS61" i="4" s="1"/>
  <c r="A61" i="20"/>
  <c r="AU19" i="4"/>
  <c r="AP19" i="4"/>
  <c r="CU19" i="4"/>
  <c r="CV19" i="4" s="1"/>
  <c r="AU50" i="4"/>
  <c r="AP50" i="4"/>
  <c r="AV646" i="13" s="1"/>
  <c r="A23" i="13"/>
  <c r="H21" i="4"/>
  <c r="AX93" i="4" a="1"/>
  <c r="AX93" i="4" s="1"/>
  <c r="AY93" i="4" s="1"/>
  <c r="AV194" i="13" s="1"/>
  <c r="B93" i="4"/>
  <c r="D768" i="13"/>
  <c r="CY73" i="4"/>
  <c r="AV273" i="13"/>
  <c r="C768" i="13"/>
  <c r="A49" i="20"/>
  <c r="D49" i="4"/>
  <c r="BS49" i="4" a="1"/>
  <c r="BS49" i="4" s="1"/>
  <c r="AZ49" i="4" a="1"/>
  <c r="AZ49" i="4" s="1"/>
  <c r="C49" i="4"/>
  <c r="BR49" i="4" a="1"/>
  <c r="BR49" i="4" s="1"/>
  <c r="AU40" i="4"/>
  <c r="AP40" i="4"/>
  <c r="AV636" i="13" s="1"/>
  <c r="AX32" i="4" a="1"/>
  <c r="AX32" i="4" s="1"/>
  <c r="AY32" i="4" s="1"/>
  <c r="AV133" i="13" s="1"/>
  <c r="B32" i="4"/>
  <c r="AX74" i="4" a="1"/>
  <c r="AX74" i="4" s="1"/>
  <c r="AY74" i="4" s="1"/>
  <c r="AV175" i="13" s="1"/>
  <c r="B74" i="4"/>
  <c r="B85" i="4"/>
  <c r="AX85" i="4" a="1"/>
  <c r="AX85" i="4" s="1"/>
  <c r="AY85" i="4" s="1"/>
  <c r="AV186" i="13" s="1"/>
  <c r="A150" i="13"/>
  <c r="AX51" i="13"/>
  <c r="A87" i="20"/>
  <c r="AZ87" i="4" a="1"/>
  <c r="AZ87" i="4" s="1"/>
  <c r="D87" i="4"/>
  <c r="BS87" i="4" a="1"/>
  <c r="BS87" i="4" s="1"/>
  <c r="BR87" i="4" a="1"/>
  <c r="BR87" i="4" s="1"/>
  <c r="C87" i="4"/>
  <c r="AX58" i="13"/>
  <c r="A157" i="13"/>
  <c r="AX34" i="13"/>
  <c r="A133" i="13"/>
  <c r="AX29" i="13"/>
  <c r="A128" i="13"/>
  <c r="AX90" i="4" a="1"/>
  <c r="AX90" i="4" s="1"/>
  <c r="AY90" i="4" s="1"/>
  <c r="AV191" i="13" s="1"/>
  <c r="B90" i="4"/>
  <c r="AX45" i="13"/>
  <c r="A144" i="13"/>
  <c r="AV237" i="13"/>
  <c r="C732" i="13"/>
  <c r="D732" i="13"/>
  <c r="CY37" i="4"/>
  <c r="A107" i="13"/>
  <c r="AX8" i="13"/>
  <c r="Z47" i="69"/>
  <c r="C42" i="1"/>
  <c r="C35" i="1"/>
  <c r="Z23" i="69"/>
  <c r="C52" i="1"/>
  <c r="Z36" i="69"/>
  <c r="AP45" i="4"/>
  <c r="AV641" i="13" s="1"/>
  <c r="AU45" i="4"/>
  <c r="D780" i="13"/>
  <c r="AV285" i="13"/>
  <c r="CY85" i="4"/>
  <c r="C780" i="13"/>
  <c r="CQ94" i="4"/>
  <c r="CR94" i="4" s="1"/>
  <c r="CX94" i="4"/>
  <c r="AU94" i="4"/>
  <c r="AP94" i="4"/>
  <c r="AV690" i="13" s="1"/>
  <c r="CW94" i="4" a="1"/>
  <c r="CW94" i="4" s="1"/>
  <c r="CS94" i="4"/>
  <c r="CT94" i="4" s="1"/>
  <c r="AX12" i="13"/>
  <c r="A111" i="13"/>
  <c r="AM94" i="4"/>
  <c r="AV393" i="13" s="1"/>
  <c r="AV492" i="13" s="1"/>
  <c r="AA58" i="4"/>
  <c r="F58" i="69" s="1"/>
  <c r="A182" i="13"/>
  <c r="AX83" i="13"/>
  <c r="AV251" i="13"/>
  <c r="CY51" i="4"/>
  <c r="D746" i="13"/>
  <c r="C746" i="13"/>
  <c r="AU82" i="4"/>
  <c r="AP82" i="4"/>
  <c r="AV678" i="13" s="1"/>
  <c r="A76" i="20"/>
  <c r="BR76" i="4" a="1"/>
  <c r="BR76" i="4" s="1"/>
  <c r="AZ76" i="4" a="1"/>
  <c r="AZ76" i="4" s="1"/>
  <c r="BS76" i="4" a="1"/>
  <c r="BS76" i="4" s="1"/>
  <c r="D76" i="4"/>
  <c r="C76" i="4"/>
  <c r="A137" i="13"/>
  <c r="AX38" i="13"/>
  <c r="B6" i="4"/>
  <c r="E357" i="15" s="1"/>
  <c r="AX6" i="4" a="1"/>
  <c r="AX6" i="4" s="1"/>
  <c r="AY6" i="4" s="1"/>
  <c r="CY4" i="4"/>
  <c r="D699" i="13"/>
  <c r="C699" i="13"/>
  <c r="AV204" i="13"/>
  <c r="BR84" i="4" a="1"/>
  <c r="BR84" i="4" s="1"/>
  <c r="C84" i="4"/>
  <c r="AZ84" i="4" a="1"/>
  <c r="AZ84" i="4" s="1"/>
  <c r="D84" i="4"/>
  <c r="BS84" i="4" a="1"/>
  <c r="BS84" i="4" s="1"/>
  <c r="A84" i="20"/>
  <c r="A34" i="20"/>
  <c r="AZ34" i="4" a="1"/>
  <c r="AZ34" i="4" s="1"/>
  <c r="BR34" i="4" a="1"/>
  <c r="BR34" i="4" s="1"/>
  <c r="BS34" i="4" a="1"/>
  <c r="BS34" i="4" s="1"/>
  <c r="C34" i="4"/>
  <c r="D34" i="4"/>
  <c r="AP30" i="4"/>
  <c r="AV626" i="13" s="1"/>
  <c r="AU30" i="4"/>
  <c r="B79" i="4"/>
  <c r="AX79" i="4" a="1"/>
  <c r="AX79" i="4" s="1"/>
  <c r="AY79" i="4" s="1"/>
  <c r="AV180" i="13" s="1"/>
  <c r="B28" i="4"/>
  <c r="AX28" i="4" a="1"/>
  <c r="AX28" i="4" s="1"/>
  <c r="AY28" i="4" s="1"/>
  <c r="AV129" i="13" s="1"/>
  <c r="AX393" i="13"/>
  <c r="A492" i="13"/>
  <c r="AX81" i="13"/>
  <c r="A180" i="13"/>
  <c r="AV250" i="13"/>
  <c r="CY50" i="4"/>
  <c r="C745" i="13"/>
  <c r="D745" i="13"/>
  <c r="AX46" i="13"/>
  <c r="A145" i="13"/>
  <c r="W58" i="4"/>
  <c r="AV1248" i="13" s="1"/>
  <c r="AX47" i="13"/>
  <c r="A146" i="13"/>
  <c r="BS83" i="4" a="1"/>
  <c r="BS83" i="4" s="1"/>
  <c r="D83" i="4"/>
  <c r="AZ83" i="4" a="1"/>
  <c r="AZ83" i="4" s="1"/>
  <c r="A83" i="20"/>
  <c r="C83" i="4"/>
  <c r="BR83" i="4" a="1"/>
  <c r="BR83" i="4" s="1"/>
  <c r="AU29" i="4"/>
  <c r="AP29" i="4"/>
  <c r="AV625" i="13" s="1"/>
  <c r="CU29" i="4"/>
  <c r="CV29" i="4" s="1"/>
  <c r="CY11" i="4"/>
  <c r="AV211" i="13"/>
  <c r="C706" i="13"/>
  <c r="D706" i="13"/>
  <c r="C74" i="4"/>
  <c r="A74" i="20"/>
  <c r="AZ74" i="4" a="1"/>
  <c r="AZ74" i="4" s="1"/>
  <c r="D74" i="4"/>
  <c r="BS74" i="4" a="1"/>
  <c r="BS74" i="4" s="1"/>
  <c r="BR74" i="4" a="1"/>
  <c r="BR74" i="4" s="1"/>
  <c r="AV247" i="13"/>
  <c r="D742" i="13"/>
  <c r="C742" i="13"/>
  <c r="CY47" i="4"/>
  <c r="BR37" i="4" a="1"/>
  <c r="BR37" i="4" s="1"/>
  <c r="BS37" i="4" a="1"/>
  <c r="BS37" i="4" s="1"/>
  <c r="C37" i="4"/>
  <c r="A37" i="20"/>
  <c r="AZ37" i="4" a="1"/>
  <c r="AZ37" i="4" s="1"/>
  <c r="D37" i="4"/>
  <c r="L60" i="4"/>
  <c r="Z260" i="13"/>
  <c r="Z161" i="13"/>
  <c r="B13" i="4"/>
  <c r="AX13" i="4" a="1"/>
  <c r="AX13" i="4" s="1"/>
  <c r="AY13" i="4" s="1"/>
  <c r="AU12" i="4"/>
  <c r="AP12" i="4"/>
  <c r="A93" i="20"/>
  <c r="D93" i="4"/>
  <c r="AZ93" i="4" a="1"/>
  <c r="AZ93" i="4" s="1"/>
  <c r="BR93" i="4" a="1"/>
  <c r="BR93" i="4" s="1"/>
  <c r="C93" i="4"/>
  <c r="BS93" i="4" a="1"/>
  <c r="BS93" i="4" s="1"/>
  <c r="B61" i="4"/>
  <c r="A188" i="13"/>
  <c r="AX89" i="13"/>
  <c r="BS56" i="4" a="1"/>
  <c r="BS56" i="4" s="1"/>
  <c r="BR56" i="4" a="1"/>
  <c r="BR56" i="4" s="1"/>
  <c r="AZ56" i="4" a="1"/>
  <c r="AZ56" i="4" s="1"/>
  <c r="C56" i="4"/>
  <c r="S87" i="22"/>
  <c r="D56" i="4"/>
  <c r="A56" i="20"/>
  <c r="A32" i="20"/>
  <c r="D32" i="4"/>
  <c r="BR32" i="4" a="1"/>
  <c r="BR32" i="4" s="1"/>
  <c r="BS32" i="4" a="1"/>
  <c r="BS32" i="4" s="1"/>
  <c r="AZ32" i="4" a="1"/>
  <c r="AZ32" i="4" s="1"/>
  <c r="C32" i="4"/>
  <c r="A27" i="20"/>
  <c r="BS27" i="4" a="1"/>
  <c r="BS27" i="4" s="1"/>
  <c r="AZ27" i="4" a="1"/>
  <c r="AZ27" i="4" s="1"/>
  <c r="C27" i="4"/>
  <c r="D27" i="4"/>
  <c r="BR27" i="4" a="1"/>
  <c r="BR27" i="4" s="1"/>
  <c r="AX10" i="4" a="1"/>
  <c r="AX10" i="4" s="1"/>
  <c r="AY10" i="4" s="1"/>
  <c r="B10" i="4"/>
  <c r="D762" i="13"/>
  <c r="C762" i="13"/>
  <c r="AV267" i="13"/>
  <c r="CY67" i="4"/>
  <c r="BS43" i="4" a="1"/>
  <c r="BS43" i="4" s="1"/>
  <c r="C43" i="4"/>
  <c r="A43" i="20"/>
  <c r="BR43" i="4" a="1"/>
  <c r="BR43" i="4" s="1"/>
  <c r="D43" i="4"/>
  <c r="AZ43" i="4" a="1"/>
  <c r="AZ43" i="4" s="1"/>
  <c r="BS6" i="4" a="1"/>
  <c r="BS6" i="4" s="1"/>
  <c r="BR6" i="4" a="1"/>
  <c r="BR6" i="4" s="1"/>
  <c r="C6" i="4"/>
  <c r="AZ6" i="4" a="1"/>
  <c r="AZ6" i="4" s="1"/>
  <c r="D6" i="4"/>
  <c r="A6" i="20"/>
  <c r="C51" i="1"/>
  <c r="C22" i="1"/>
  <c r="Z50" i="69"/>
  <c r="Z33" i="69"/>
  <c r="C54" i="1"/>
  <c r="C32" i="1"/>
  <c r="A104" i="13"/>
  <c r="AX5" i="13"/>
  <c r="AU65" i="4"/>
  <c r="AP65" i="4"/>
  <c r="AV661" i="13" s="1"/>
  <c r="CU65" i="4"/>
  <c r="CV65" i="4" s="1"/>
  <c r="CY32" i="4"/>
  <c r="AV232" i="13"/>
  <c r="C727" i="13"/>
  <c r="D727" i="13"/>
  <c r="BR10" i="4" a="1"/>
  <c r="BR10" i="4" s="1"/>
  <c r="C10" i="4"/>
  <c r="AZ10" i="4" a="1"/>
  <c r="AZ10" i="4" s="1"/>
  <c r="BS10" i="4" a="1"/>
  <c r="BS10" i="4" s="1"/>
  <c r="D10" i="4"/>
  <c r="A10" i="20"/>
  <c r="AX72" i="13"/>
  <c r="A171" i="13"/>
  <c r="A130" i="13"/>
  <c r="AX31" i="13"/>
  <c r="AA94" i="4"/>
  <c r="F94" i="69" s="1"/>
  <c r="AX78" i="13"/>
  <c r="A177" i="13"/>
  <c r="CY46" i="4"/>
  <c r="AV246" i="13"/>
  <c r="C741" i="13"/>
  <c r="D741" i="13"/>
  <c r="BS36" i="4" a="1"/>
  <c r="BS36" i="4" s="1"/>
  <c r="A36" i="20"/>
  <c r="D36" i="4"/>
  <c r="BR36" i="4" a="1"/>
  <c r="BR36" i="4" s="1"/>
  <c r="C36" i="4"/>
  <c r="AZ36" i="4" a="1"/>
  <c r="AZ36" i="4" s="1"/>
  <c r="AX86" i="13"/>
  <c r="A185" i="13"/>
  <c r="AX36" i="13"/>
  <c r="A135" i="13"/>
  <c r="C712" i="13"/>
  <c r="AV217" i="13"/>
  <c r="CY17" i="4"/>
  <c r="D712" i="13"/>
  <c r="AP49" i="4"/>
  <c r="AV645" i="13" s="1"/>
  <c r="AU49" i="4"/>
  <c r="CY40" i="4"/>
  <c r="C735" i="13"/>
  <c r="D735" i="13"/>
  <c r="AV240" i="13"/>
  <c r="C719" i="13"/>
  <c r="D719" i="13"/>
  <c r="AV224" i="13"/>
  <c r="CY24" i="4"/>
  <c r="AU13" i="4"/>
  <c r="AP13" i="4"/>
  <c r="AV609" i="13" s="1"/>
  <c r="D704" i="13"/>
  <c r="CY9" i="4"/>
  <c r="AV209" i="13"/>
  <c r="C704" i="13"/>
  <c r="AV263" i="13"/>
  <c r="CY63" i="4"/>
  <c r="C758" i="13"/>
  <c r="D758" i="13"/>
  <c r="B52" i="4"/>
  <c r="AX52" i="4" a="1"/>
  <c r="AX52" i="4" s="1"/>
  <c r="AY52" i="4" s="1"/>
  <c r="AV153" i="13" s="1"/>
  <c r="BR79" i="4" a="1"/>
  <c r="BR79" i="4" s="1"/>
  <c r="D79" i="4"/>
  <c r="BS79" i="4" a="1"/>
  <c r="BS79" i="4" s="1"/>
  <c r="A79" i="20"/>
  <c r="AZ79" i="4" a="1"/>
  <c r="AZ79" i="4" s="1"/>
  <c r="C79" i="4"/>
  <c r="A44" i="20"/>
  <c r="BS44" i="4" a="1"/>
  <c r="BS44" i="4" s="1"/>
  <c r="C44" i="4"/>
  <c r="D44" i="4"/>
  <c r="BR44" i="4" a="1"/>
  <c r="BR44" i="4" s="1"/>
  <c r="AZ44" i="4" a="1"/>
  <c r="AZ44" i="4" s="1"/>
  <c r="BR45" i="4" a="1"/>
  <c r="BR45" i="4" s="1"/>
  <c r="C45" i="4"/>
  <c r="BS45" i="4" a="1"/>
  <c r="BS45" i="4" s="1"/>
  <c r="D45" i="4"/>
  <c r="AZ45" i="4" a="1"/>
  <c r="AZ45" i="4" s="1"/>
  <c r="A45" i="20"/>
  <c r="B83" i="4"/>
  <c r="AX83" i="4" a="1"/>
  <c r="AX83" i="4" s="1"/>
  <c r="AY83" i="4" s="1"/>
  <c r="AV184" i="13" s="1"/>
  <c r="AV265" i="13"/>
  <c r="CY65" i="4"/>
  <c r="D760" i="13"/>
  <c r="C760" i="13"/>
  <c r="C789" i="13"/>
  <c r="CY94" i="4"/>
  <c r="AV294" i="13"/>
  <c r="D789" i="13"/>
  <c r="J3" i="27"/>
  <c r="AW60" i="4"/>
  <c r="C67" i="1"/>
  <c r="AL30" i="4" a="1"/>
  <c r="AK30" i="4" a="1"/>
  <c r="Y20" i="4" a="1"/>
  <c r="X20" i="4" a="1"/>
  <c r="Y86" i="4" a="1"/>
  <c r="X86" i="4" a="1"/>
  <c r="AF70" i="4" a="1"/>
  <c r="AG70" i="4" a="1"/>
  <c r="Y91" i="4" a="1"/>
  <c r="X91" i="4" a="1"/>
  <c r="AD73" i="4" a="1"/>
  <c r="AC73" i="4" a="1"/>
  <c r="AG73" i="4" a="1"/>
  <c r="AF73" i="4" a="1"/>
  <c r="AD51" i="4" a="1"/>
  <c r="AC51" i="4" a="1"/>
  <c r="AL12" i="4" a="1"/>
  <c r="AK12" i="4" a="1"/>
  <c r="AK16" i="4" a="1"/>
  <c r="AL16" i="4" a="1"/>
  <c r="X25" i="4" a="1"/>
  <c r="Y25" i="4" a="1"/>
  <c r="AD82" i="4" a="1"/>
  <c r="AC82" i="4" a="1"/>
  <c r="Y38" i="4" a="1"/>
  <c r="X38" i="4" a="1"/>
  <c r="X68" i="4" a="1"/>
  <c r="Y68" i="4" a="1"/>
  <c r="Y77" i="4" a="1"/>
  <c r="X77" i="4" a="1"/>
  <c r="AG90" i="4" a="1"/>
  <c r="AF90" i="4" a="1"/>
  <c r="AG53" i="4" a="1"/>
  <c r="AF53" i="4" a="1"/>
  <c r="AF18" i="4" a="1"/>
  <c r="AG18" i="4" a="1"/>
  <c r="AD71" i="4" a="1"/>
  <c r="AC71" i="4" a="1"/>
  <c r="AD75" i="4" a="1"/>
  <c r="AC75" i="4" a="1"/>
  <c r="X59" i="4" a="1"/>
  <c r="Y59" i="4" a="1"/>
  <c r="X9" i="4" a="1"/>
  <c r="Y9" i="4" a="1"/>
  <c r="AG22" i="4" a="1"/>
  <c r="AF22" i="4" a="1"/>
  <c r="AG49" i="4" a="1"/>
  <c r="AF49" i="4" a="1"/>
  <c r="AL76" i="4" a="1"/>
  <c r="AK76" i="4" a="1"/>
  <c r="AL83" i="4" a="1"/>
  <c r="AK83" i="4" a="1"/>
  <c r="Y93" i="4" a="1"/>
  <c r="X93" i="4" a="1"/>
  <c r="Y6" i="4" a="1"/>
  <c r="X6" i="4" a="1"/>
  <c r="X10" i="4" a="1"/>
  <c r="Y10" i="4" a="1"/>
  <c r="AF79" i="4" a="1"/>
  <c r="AG79" i="4" a="1"/>
  <c r="X45" i="4" a="1"/>
  <c r="Y45" i="4" a="1"/>
  <c r="AG45" i="4" a="1"/>
  <c r="AF45" i="4" a="1"/>
  <c r="BH9" i="4" a="1"/>
  <c r="BF9" i="4" a="1"/>
  <c r="BG9" i="4" a="1"/>
  <c r="BG80" i="4" a="1"/>
  <c r="BF80" i="4" a="1"/>
  <c r="BH80" i="4" a="1"/>
  <c r="AK20" i="4" a="1"/>
  <c r="AL20" i="4" a="1"/>
  <c r="AL17" i="4" a="1"/>
  <c r="AK17" i="4" a="1"/>
  <c r="AL70" i="4" a="1"/>
  <c r="AK70" i="4" a="1"/>
  <c r="AG28" i="4" a="1"/>
  <c r="AF28" i="4" a="1"/>
  <c r="AC54" i="4" a="1"/>
  <c r="AD54" i="4" a="1"/>
  <c r="AL24" i="4" a="1"/>
  <c r="AK24" i="4" a="1"/>
  <c r="Y24" i="4" a="1"/>
  <c r="X24" i="4" a="1"/>
  <c r="X12" i="4" a="1"/>
  <c r="Y12" i="4" a="1"/>
  <c r="AF16" i="4" a="1"/>
  <c r="AG16" i="4" a="1"/>
  <c r="AC67" i="4" a="1"/>
  <c r="AD67" i="4" a="1"/>
  <c r="AC66" i="4" a="1"/>
  <c r="AD66" i="4" a="1"/>
  <c r="AG33" i="4" a="1"/>
  <c r="AF33" i="4" a="1"/>
  <c r="AL68" i="4" a="1"/>
  <c r="AK68" i="4" a="1"/>
  <c r="AD80" i="4" a="1"/>
  <c r="AC80" i="4" a="1"/>
  <c r="X62" i="4" a="1"/>
  <c r="Y62" i="4" a="1"/>
  <c r="X78" i="4" a="1"/>
  <c r="Y78" i="4" a="1"/>
  <c r="AD8" i="4" a="1"/>
  <c r="AC8" i="4" a="1"/>
  <c r="AC65" i="4" a="1"/>
  <c r="AD65" i="4" a="1"/>
  <c r="AK46" i="4" a="1"/>
  <c r="AL46" i="4" a="1"/>
  <c r="AK72" i="4" a="1"/>
  <c r="AL72" i="4" a="1"/>
  <c r="AF41" i="4" a="1"/>
  <c r="AG41" i="4" a="1"/>
  <c r="AK9" i="4" a="1"/>
  <c r="AL9" i="4" a="1"/>
  <c r="X19" i="4" a="1"/>
  <c r="Y19" i="4" a="1"/>
  <c r="AK19" i="4" a="1"/>
  <c r="AL19" i="4" a="1"/>
  <c r="AC92" i="4" a="1"/>
  <c r="AD92" i="4" a="1"/>
  <c r="AG31" i="4" a="1"/>
  <c r="AF31" i="4" a="1"/>
  <c r="AC49" i="4" a="1"/>
  <c r="AD49" i="4" a="1"/>
  <c r="AD76" i="4" a="1"/>
  <c r="AC76" i="4" a="1"/>
  <c r="AF83" i="4" a="1"/>
  <c r="AG83" i="4" a="1"/>
  <c r="AK37" i="4" a="1"/>
  <c r="AL37" i="4" a="1"/>
  <c r="Y79" i="4" a="1"/>
  <c r="X79" i="4" a="1"/>
  <c r="AK45" i="4" a="1"/>
  <c r="AL45" i="4" a="1"/>
  <c r="BG16" i="4" a="1"/>
  <c r="BH16" i="4" a="1"/>
  <c r="BF16" i="4" a="1"/>
  <c r="BF3" i="4" a="1"/>
  <c r="BH3" i="4" a="1"/>
  <c r="BG3" i="4" a="1"/>
  <c r="BG51" i="4" a="1"/>
  <c r="BF51" i="4" a="1"/>
  <c r="BH51" i="4" a="1"/>
  <c r="AF20" i="4" a="1"/>
  <c r="AG20" i="4" a="1"/>
  <c r="AL73" i="4" a="1"/>
  <c r="AK73" i="4" a="1"/>
  <c r="AC85" i="4" a="1"/>
  <c r="AD85" i="4" a="1"/>
  <c r="AF85" i="4" a="1"/>
  <c r="AG85" i="4" a="1"/>
  <c r="AF13" i="4" a="1"/>
  <c r="AG13" i="4" a="1"/>
  <c r="X63" i="4" a="1"/>
  <c r="Y63" i="4" a="1"/>
  <c r="AK67" i="4" a="1"/>
  <c r="AL67" i="4" a="1"/>
  <c r="AL25" i="4" a="1"/>
  <c r="AK25" i="4" a="1"/>
  <c r="AG66" i="4" a="1"/>
  <c r="AF66" i="4" a="1"/>
  <c r="AL82" i="4" a="1"/>
  <c r="AK82" i="4" a="1"/>
  <c r="AC47" i="4" a="1"/>
  <c r="AD47" i="4" a="1"/>
  <c r="AC68" i="4" a="1"/>
  <c r="AD68" i="4" a="1"/>
  <c r="AK11" i="4" a="1"/>
  <c r="AL11" i="4" a="1"/>
  <c r="AK78" i="4" a="1"/>
  <c r="AL78" i="4" a="1"/>
  <c r="AC18" i="4" a="1"/>
  <c r="AD18" i="4" a="1"/>
  <c r="Y71" i="4" a="1"/>
  <c r="X71" i="4" a="1"/>
  <c r="AG3" i="4" a="1"/>
  <c r="AF3" i="4" a="1"/>
  <c r="Y48" i="4" a="1"/>
  <c r="X48" i="4" a="1"/>
  <c r="AG39" i="4" a="1"/>
  <c r="AF39" i="4" a="1"/>
  <c r="AK26" i="4" a="1"/>
  <c r="AL26" i="4" a="1"/>
  <c r="X52" i="4" a="1"/>
  <c r="Y52" i="4" a="1"/>
  <c r="AC9" i="4" a="1"/>
  <c r="AD9" i="4" a="1"/>
  <c r="X14" i="4" a="1"/>
  <c r="Y14" i="4" a="1"/>
  <c r="AC19" i="4" a="1"/>
  <c r="AD19" i="4" a="1"/>
  <c r="AG64" i="4" a="1"/>
  <c r="AF64" i="4" a="1"/>
  <c r="X92" i="4" a="1"/>
  <c r="Y92" i="4" a="1"/>
  <c r="AK61" i="4" a="1"/>
  <c r="AL61" i="4" a="1"/>
  <c r="AD93" i="4" a="1"/>
  <c r="AC93" i="4" a="1"/>
  <c r="X27" i="4" a="1"/>
  <c r="Y27" i="4" a="1"/>
  <c r="AK43" i="4" a="1"/>
  <c r="AL43" i="4" a="1"/>
  <c r="AK6" i="4" a="1"/>
  <c r="AL6" i="4" a="1"/>
  <c r="AC79" i="4" a="1"/>
  <c r="AD79" i="4" a="1"/>
  <c r="BG34" i="4" a="1"/>
  <c r="BF34" i="4" a="1"/>
  <c r="BH34" i="4" a="1"/>
  <c r="BF73" i="4" a="1"/>
  <c r="BG73" i="4" a="1"/>
  <c r="BH73" i="4" a="1"/>
  <c r="BG30" i="4" a="1"/>
  <c r="BH30" i="4" a="1"/>
  <c r="BF30" i="4" a="1"/>
  <c r="BH47" i="4" a="1"/>
  <c r="BF47" i="4" a="1"/>
  <c r="BG47" i="4" a="1"/>
  <c r="BF56" i="4" a="1"/>
  <c r="BH56" i="4" a="1"/>
  <c r="BG56" i="4" a="1"/>
  <c r="BG59" i="4" a="1"/>
  <c r="BH59" i="4" a="1"/>
  <c r="BF59" i="4" a="1"/>
  <c r="BG76" i="4" a="1"/>
  <c r="BF76" i="4" a="1"/>
  <c r="BH76" i="4" a="1"/>
  <c r="AF86" i="4" a="1"/>
  <c r="AG86" i="4" a="1"/>
  <c r="X70" i="4" a="1"/>
  <c r="Y70" i="4" a="1"/>
  <c r="AD28" i="4" a="1"/>
  <c r="AC28" i="4" a="1"/>
  <c r="AL54" i="4" a="1"/>
  <c r="AK54" i="4" a="1"/>
  <c r="X51" i="4" a="1"/>
  <c r="Y51" i="4" a="1"/>
  <c r="AD38" i="4" a="1"/>
  <c r="AC38" i="4" a="1"/>
  <c r="AG11" i="4" a="1"/>
  <c r="AF11" i="4" a="1"/>
  <c r="AK77" i="4" a="1"/>
  <c r="AL77" i="4" a="1"/>
  <c r="AK18" i="4" a="1"/>
  <c r="AL18" i="4" a="1"/>
  <c r="AG71" i="4" a="1"/>
  <c r="AF71" i="4" a="1"/>
  <c r="AK71" i="4" a="1"/>
  <c r="AL71" i="4" a="1"/>
  <c r="AL3" i="4" a="1"/>
  <c r="AK3" i="4" a="1"/>
  <c r="AD35" i="4" a="1"/>
  <c r="AC35" i="4" a="1"/>
  <c r="AK65" i="4" a="1"/>
  <c r="AL65" i="4" a="1"/>
  <c r="AG19" i="4" a="1"/>
  <c r="AF19" i="4" a="1"/>
  <c r="X81" i="4" a="1"/>
  <c r="Y81" i="4" a="1"/>
  <c r="AL92" i="4" a="1"/>
  <c r="AK92" i="4" a="1"/>
  <c r="AG50" i="4" a="1"/>
  <c r="AF50" i="4" a="1"/>
  <c r="Y49" i="4" a="1"/>
  <c r="X49" i="4" a="1"/>
  <c r="Y74" i="4" a="1"/>
  <c r="X74" i="4" a="1"/>
  <c r="AG74" i="4" a="1"/>
  <c r="AF74" i="4" a="1"/>
  <c r="AK32" i="4" a="1"/>
  <c r="AL32" i="4" a="1"/>
  <c r="AC43" i="4" a="1"/>
  <c r="AD43" i="4" a="1"/>
  <c r="AD6" i="4" a="1"/>
  <c r="AC6" i="4" a="1"/>
  <c r="AF44" i="4" a="1"/>
  <c r="AG44" i="4" a="1"/>
  <c r="BF86" i="4" a="1"/>
  <c r="BH86" i="4" a="1"/>
  <c r="BG86" i="4" a="1"/>
  <c r="BG48" i="4" a="1"/>
  <c r="BF48" i="4" a="1"/>
  <c r="BH48" i="4" a="1"/>
  <c r="BG41" i="4" a="1"/>
  <c r="BF41" i="4" a="1"/>
  <c r="BH41" i="4" a="1"/>
  <c r="BG92" i="4" a="1"/>
  <c r="BF92" i="4" a="1"/>
  <c r="BH92" i="4" a="1"/>
  <c r="BF36" i="4" a="1"/>
  <c r="BG36" i="4" a="1"/>
  <c r="BH36" i="4" a="1"/>
  <c r="AK86" i="4" a="1"/>
  <c r="AL86" i="4" a="1"/>
  <c r="Y17" i="4" a="1"/>
  <c r="X17" i="4" a="1"/>
  <c r="AF17" i="4" a="1"/>
  <c r="AG17" i="4" a="1"/>
  <c r="AG89" i="4" a="1"/>
  <c r="AF89" i="4" a="1"/>
  <c r="AF54" i="4" a="1"/>
  <c r="AG54" i="4" a="1"/>
  <c r="AG88" i="4" a="1"/>
  <c r="AF88" i="4" a="1"/>
  <c r="AC57" i="4" a="1"/>
  <c r="AD57" i="4" a="1"/>
  <c r="AD33" i="4" a="1"/>
  <c r="AC33" i="4" a="1"/>
  <c r="AF68" i="4" a="1"/>
  <c r="AG68" i="4" a="1"/>
  <c r="AC11" i="4" a="1"/>
  <c r="AD11" i="4" a="1"/>
  <c r="AL7" i="4" a="1"/>
  <c r="AK7" i="4" a="1"/>
  <c r="Y18" i="4" a="1"/>
  <c r="X18" i="4" a="1"/>
  <c r="AG35" i="4" a="1"/>
  <c r="AF35" i="4" a="1"/>
  <c r="Y35" i="4" a="1"/>
  <c r="X35" i="4" a="1"/>
  <c r="AC42" i="4" a="1"/>
  <c r="AD42" i="4" a="1"/>
  <c r="AC26" i="4" a="1"/>
  <c r="AD26" i="4" a="1"/>
  <c r="AF72" i="4" a="1"/>
  <c r="AG72" i="4" a="1"/>
  <c r="AG23" i="4" a="1"/>
  <c r="AF23" i="4" a="1"/>
  <c r="AF59" i="4" a="1"/>
  <c r="AG59" i="4" a="1"/>
  <c r="AD22" i="4" a="1"/>
  <c r="AC22" i="4" a="1"/>
  <c r="AC50" i="4" a="1"/>
  <c r="AD50" i="4" a="1"/>
  <c r="AC87" i="4" a="1"/>
  <c r="AD87" i="4" a="1"/>
  <c r="AL27" i="4" a="1"/>
  <c r="AK27" i="4" a="1"/>
  <c r="Y43" i="4" a="1"/>
  <c r="X43" i="4" a="1"/>
  <c r="AL10" i="4" a="1"/>
  <c r="AK10" i="4" a="1"/>
  <c r="BF67" i="4" a="1"/>
  <c r="BH67" i="4" a="1"/>
  <c r="BG67" i="4" a="1"/>
  <c r="BF58" i="4" a="1"/>
  <c r="BG58" i="4" a="1"/>
  <c r="BH58" i="4" a="1"/>
  <c r="BG64" i="4" a="1"/>
  <c r="BF64" i="4" a="1"/>
  <c r="BH64" i="4" a="1"/>
  <c r="BG27" i="4" a="1"/>
  <c r="BH27" i="4" a="1"/>
  <c r="BF27" i="4" a="1"/>
  <c r="AD17" i="4" a="1"/>
  <c r="AC17" i="4" a="1"/>
  <c r="AG91" i="4" a="1"/>
  <c r="AF91" i="4" a="1"/>
  <c r="AF69" i="4" a="1"/>
  <c r="AG69" i="4" a="1"/>
  <c r="Y69" i="4" a="1"/>
  <c r="X69" i="4" a="1"/>
  <c r="AG12" i="4" a="1"/>
  <c r="AF12" i="4" a="1"/>
  <c r="X33" i="4" a="1"/>
  <c r="Y33" i="4" a="1"/>
  <c r="AF82" i="4" a="1"/>
  <c r="AG82" i="4" a="1"/>
  <c r="AD40" i="4" a="1"/>
  <c r="AC40" i="4" a="1"/>
  <c r="AK90" i="4" a="1"/>
  <c r="AL90" i="4" a="1"/>
  <c r="X53" i="4" a="1"/>
  <c r="Y53" i="4" a="1"/>
  <c r="AK62" i="4" a="1"/>
  <c r="AL62" i="4" a="1"/>
  <c r="X7" i="4" a="1"/>
  <c r="Y7" i="4" a="1"/>
  <c r="AD5" i="4" a="1"/>
  <c r="AC5" i="4" a="1"/>
  <c r="AG75" i="4" a="1"/>
  <c r="AF75" i="4" a="1"/>
  <c r="AL75" i="4" a="1"/>
  <c r="AK75" i="4" a="1"/>
  <c r="AD52" i="4" a="1"/>
  <c r="AC52" i="4" a="1"/>
  <c r="X22" i="4" a="1"/>
  <c r="Y22" i="4" a="1"/>
  <c r="AG34" i="4" a="1"/>
  <c r="AF34" i="4" a="1"/>
  <c r="AF32" i="4" a="1"/>
  <c r="AG32" i="4" a="1"/>
  <c r="AG43" i="4" a="1"/>
  <c r="AF43" i="4" a="1"/>
  <c r="AG10" i="4" a="1"/>
  <c r="AF10" i="4" a="1"/>
  <c r="X36" i="4" a="1"/>
  <c r="Y36" i="4" a="1"/>
  <c r="BH43" i="4" a="1"/>
  <c r="BF43" i="4" a="1"/>
  <c r="BG43" i="4" a="1"/>
  <c r="BF53" i="4" a="1"/>
  <c r="BH53" i="4" a="1"/>
  <c r="BG53" i="4" a="1"/>
  <c r="AD29" i="4" a="1"/>
  <c r="AC29" i="4" a="1"/>
  <c r="X54" i="4" a="1"/>
  <c r="Y54" i="4" a="1"/>
  <c r="AD69" i="4" a="1"/>
  <c r="AC69" i="4" a="1"/>
  <c r="AC24" i="4" a="1"/>
  <c r="AD24" i="4" a="1"/>
  <c r="X67" i="4" a="1"/>
  <c r="Y67" i="4" a="1"/>
  <c r="AF25" i="4" a="1"/>
  <c r="AG25" i="4" a="1"/>
  <c r="X57" i="4" a="1"/>
  <c r="Y57" i="4" a="1"/>
  <c r="AC62" i="4" a="1"/>
  <c r="AD62" i="4" a="1"/>
  <c r="AL8" i="4" a="1"/>
  <c r="AK8" i="4" a="1"/>
  <c r="AD15" i="4" a="1"/>
  <c r="AC15" i="4" a="1"/>
  <c r="AK5" i="4" a="1"/>
  <c r="AL5" i="4" a="1"/>
  <c r="AK35" i="4" a="1"/>
  <c r="AL35" i="4" a="1"/>
  <c r="AK48" i="4" a="1"/>
  <c r="AL48" i="4" a="1"/>
  <c r="AF65" i="4" a="1"/>
  <c r="AG65" i="4" a="1"/>
  <c r="AK39" i="4" a="1"/>
  <c r="AL39" i="4" a="1"/>
  <c r="AF46" i="4" a="1"/>
  <c r="AG46" i="4" a="1"/>
  <c r="X42" i="4" a="1"/>
  <c r="Y42" i="4" a="1"/>
  <c r="AF52" i="4" a="1"/>
  <c r="AG52" i="4" a="1"/>
  <c r="X72" i="4" a="1"/>
  <c r="Y72" i="4" a="1"/>
  <c r="AC23" i="4" a="1"/>
  <c r="AD23" i="4" a="1"/>
  <c r="AC59" i="4" a="1"/>
  <c r="AD59" i="4" a="1"/>
  <c r="AC41" i="4" a="1"/>
  <c r="AD41" i="4" a="1"/>
  <c r="AK64" i="4" a="1"/>
  <c r="AL64" i="4" a="1"/>
  <c r="X61" i="4" a="1"/>
  <c r="Y61" i="4" a="1"/>
  <c r="AL34" i="4" a="1"/>
  <c r="AK34" i="4" a="1"/>
  <c r="AC74" i="4" a="1"/>
  <c r="AD74" i="4" a="1"/>
  <c r="AD32" i="4" a="1"/>
  <c r="AC32" i="4" a="1"/>
  <c r="AD27" i="4" a="1"/>
  <c r="AC27" i="4" a="1"/>
  <c r="AK79" i="4" a="1"/>
  <c r="AL79" i="4" a="1"/>
  <c r="AD44" i="4" a="1"/>
  <c r="AC44" i="4" a="1"/>
  <c r="AC45" i="4" a="1"/>
  <c r="AD45" i="4" a="1"/>
  <c r="BH57" i="4" a="1"/>
  <c r="BG57" i="4" a="1"/>
  <c r="BF57" i="4" a="1"/>
  <c r="BF94" i="4" a="1"/>
  <c r="BH94" i="4" a="1"/>
  <c r="BG94" i="4" a="1"/>
  <c r="BH17" i="4" a="1"/>
  <c r="BF17" i="4" a="1"/>
  <c r="BG17" i="4" a="1"/>
  <c r="AK91" i="4" a="1"/>
  <c r="AL91" i="4" a="1"/>
  <c r="AD91" i="4" a="1"/>
  <c r="AC91" i="4" a="1"/>
  <c r="Y28" i="4" a="1"/>
  <c r="X28" i="4" a="1"/>
  <c r="AK69" i="4" a="1"/>
  <c r="AL69" i="4" a="1"/>
  <c r="AD13" i="4" a="1"/>
  <c r="AC13" i="4" a="1"/>
  <c r="AD63" i="4" a="1"/>
  <c r="AC63" i="4" a="1"/>
  <c r="AG67" i="4" a="1"/>
  <c r="AF67" i="4" a="1"/>
  <c r="AC88" i="4" a="1"/>
  <c r="AD88" i="4" a="1"/>
  <c r="AG57" i="4" a="1"/>
  <c r="AF57" i="4" a="1"/>
  <c r="AF47" i="4" a="1"/>
  <c r="AG47" i="4" a="1"/>
  <c r="X80" i="4" a="1"/>
  <c r="Y80" i="4" a="1"/>
  <c r="AF77" i="4" a="1"/>
  <c r="AG77" i="4" a="1"/>
  <c r="AG7" i="4" a="1"/>
  <c r="AF7" i="4" a="1"/>
  <c r="AL15" i="4" a="1"/>
  <c r="AK15" i="4" a="1"/>
  <c r="Y39" i="4" a="1"/>
  <c r="X39" i="4" a="1"/>
  <c r="AD72" i="4" a="1"/>
  <c r="AC72" i="4" a="1"/>
  <c r="AF14" i="4" a="1"/>
  <c r="AG14" i="4" a="1"/>
  <c r="X64" i="4" a="1"/>
  <c r="Y64" i="4" a="1"/>
  <c r="AK22" i="4" a="1"/>
  <c r="AL22" i="4" a="1"/>
  <c r="AG81" i="4" a="1"/>
  <c r="AF81" i="4" a="1"/>
  <c r="Y31" i="4" a="1"/>
  <c r="X31" i="4" a="1"/>
  <c r="X87" i="4" a="1"/>
  <c r="Y87" i="4" a="1"/>
  <c r="X34" i="4" a="1"/>
  <c r="Y34" i="4" a="1"/>
  <c r="AF37" i="4" a="1"/>
  <c r="AG37" i="4" a="1"/>
  <c r="AL93" i="4" a="1"/>
  <c r="AK93" i="4" a="1"/>
  <c r="Y56" i="4" a="1"/>
  <c r="X56" i="4" a="1"/>
  <c r="X32" i="4" a="1"/>
  <c r="Y32" i="4" a="1"/>
  <c r="AK36" i="4" a="1"/>
  <c r="AL36" i="4" a="1"/>
  <c r="AL44" i="4" a="1"/>
  <c r="AK44" i="4" a="1"/>
  <c r="BH42" i="4" a="1"/>
  <c r="BG42" i="4" a="1"/>
  <c r="BF42" i="4" a="1"/>
  <c r="BF75" i="4" a="1"/>
  <c r="BH75" i="4" a="1"/>
  <c r="BG75" i="4" a="1"/>
  <c r="BH70" i="4" a="1"/>
  <c r="BG70" i="4" a="1"/>
  <c r="BF70" i="4" a="1"/>
  <c r="BF77" i="4" a="1"/>
  <c r="BH77" i="4" a="1"/>
  <c r="BG77" i="4" a="1"/>
  <c r="Y30" i="4" a="1"/>
  <c r="X30" i="4" a="1"/>
  <c r="AD70" i="4" a="1"/>
  <c r="AC70" i="4" a="1"/>
  <c r="X29" i="4" a="1"/>
  <c r="Y29" i="4" a="1"/>
  <c r="AK66" i="4" a="1"/>
  <c r="AL66" i="4" a="1"/>
  <c r="AK88" i="4" a="1"/>
  <c r="AL88" i="4" a="1"/>
  <c r="AL33" i="4" a="1"/>
  <c r="AK33" i="4" a="1"/>
  <c r="AF80" i="4" a="1"/>
  <c r="AG80" i="4" a="1"/>
  <c r="Y90" i="4" a="1"/>
  <c r="X90" i="4" a="1"/>
  <c r="AK53" i="4" a="1"/>
  <c r="AL53" i="4" a="1"/>
  <c r="AG15" i="4" a="1"/>
  <c r="AF15" i="4" a="1"/>
  <c r="AG5" i="4" a="1"/>
  <c r="AF5" i="4" a="1"/>
  <c r="AG42" i="4" a="1"/>
  <c r="AF42" i="4" a="1"/>
  <c r="AG26" i="4" a="1"/>
  <c r="AF26" i="4" a="1"/>
  <c r="AL52" i="4" a="1"/>
  <c r="AK52" i="4" a="1"/>
  <c r="AL59" i="4" a="1"/>
  <c r="AK59" i="4" a="1"/>
  <c r="X41" i="4" a="1"/>
  <c r="Y41" i="4" a="1"/>
  <c r="AD64" i="4" a="1"/>
  <c r="AC64" i="4" a="1"/>
  <c r="AL81" i="4" a="1"/>
  <c r="AK81" i="4" a="1"/>
  <c r="AC61" i="4" a="1"/>
  <c r="AD61" i="4" a="1"/>
  <c r="AD84" i="4" a="1"/>
  <c r="AC84" i="4" a="1"/>
  <c r="AD34" i="4" a="1"/>
  <c r="AC34" i="4" a="1"/>
  <c r="AD83" i="4" a="1"/>
  <c r="AC83" i="4" a="1"/>
  <c r="AC56" i="4" a="1"/>
  <c r="AD56" i="4" a="1"/>
  <c r="AD36" i="4" a="1"/>
  <c r="AC36" i="4" a="1"/>
  <c r="Y44" i="4" a="1"/>
  <c r="X44" i="4" a="1"/>
  <c r="BF7" i="4" a="1"/>
  <c r="BH7" i="4" a="1"/>
  <c r="BG7" i="4" a="1"/>
  <c r="AD30" i="4" a="1"/>
  <c r="AC30" i="4" a="1"/>
  <c r="AK29" i="4" a="1"/>
  <c r="AL29" i="4" a="1"/>
  <c r="AC89" i="4" a="1"/>
  <c r="AD89" i="4" a="1"/>
  <c r="Y73" i="4" a="1"/>
  <c r="X73" i="4" a="1"/>
  <c r="AK28" i="4" a="1"/>
  <c r="AL28" i="4" a="1"/>
  <c r="AK51" i="4" a="1"/>
  <c r="AL51" i="4" a="1"/>
  <c r="AC12" i="4" a="1"/>
  <c r="AD12" i="4" a="1"/>
  <c r="AG63" i="4" a="1"/>
  <c r="AF63" i="4" a="1"/>
  <c r="AK40" i="4" a="1"/>
  <c r="AL40" i="4" a="1"/>
  <c r="Y40" i="4" a="1"/>
  <c r="X40" i="4" a="1"/>
  <c r="AD90" i="4" a="1"/>
  <c r="AC90" i="4" a="1"/>
  <c r="AC53" i="4" a="1"/>
  <c r="AD53" i="4" a="1"/>
  <c r="AG62" i="4" a="1"/>
  <c r="AF62" i="4" a="1"/>
  <c r="AG78" i="4" a="1"/>
  <c r="AF78" i="4" a="1"/>
  <c r="AG8" i="4" a="1"/>
  <c r="AF8" i="4" a="1"/>
  <c r="AC7" i="4" a="1"/>
  <c r="AD7" i="4" a="1"/>
  <c r="Y5" i="4" a="1"/>
  <c r="X5" i="4" a="1"/>
  <c r="X3" i="4" a="1"/>
  <c r="Y3" i="4" a="1"/>
  <c r="AD39" i="4" a="1"/>
  <c r="AC39" i="4" a="1"/>
  <c r="X46" i="4" a="1"/>
  <c r="Y46" i="4" a="1"/>
  <c r="AF9" i="4" a="1"/>
  <c r="AG9" i="4" a="1"/>
  <c r="AL14" i="4" a="1"/>
  <c r="AK14" i="4" a="1"/>
  <c r="AG92" i="4" a="1"/>
  <c r="AF92" i="4" a="1"/>
  <c r="AF87" i="4" a="1"/>
  <c r="AG87" i="4" a="1"/>
  <c r="AF76" i="4" a="1"/>
  <c r="AG76" i="4" a="1"/>
  <c r="AF84" i="4" a="1"/>
  <c r="AG84" i="4" a="1"/>
  <c r="X83" i="4" a="1"/>
  <c r="Y83" i="4" a="1"/>
  <c r="AD37" i="4" a="1"/>
  <c r="AC37" i="4" a="1"/>
  <c r="AG27" i="4" a="1"/>
  <c r="AF27" i="4" a="1"/>
  <c r="BH14" i="4" a="1"/>
  <c r="BF14" i="4" a="1"/>
  <c r="BG14" i="4" a="1"/>
  <c r="BF38" i="4" a="1"/>
  <c r="BH38" i="4" a="1"/>
  <c r="BG38" i="4" a="1"/>
  <c r="BF12" i="4" a="1"/>
  <c r="BH12" i="4" a="1"/>
  <c r="BG12" i="4" a="1"/>
  <c r="BM60" i="4" a="1"/>
  <c r="CD60" i="4" a="1"/>
  <c r="CE60" i="4" a="1"/>
  <c r="CA60" i="4" a="1"/>
  <c r="CB60" i="4" a="1"/>
  <c r="CM60" i="4"/>
  <c r="AJ60" i="4" a="1"/>
  <c r="BY60" i="4" a="1"/>
  <c r="AB60" i="4" a="1"/>
  <c r="CG60" i="4" a="1"/>
  <c r="Z60" i="4" a="1"/>
  <c r="CC60" i="4" a="1"/>
  <c r="CI60" i="4" a="1"/>
  <c r="CP60" i="4"/>
  <c r="BK60" i="4" a="1"/>
  <c r="BZ60" i="4" a="1"/>
  <c r="CH60" i="4" a="1"/>
  <c r="CJ60" i="4" a="1"/>
  <c r="CF60" i="4" a="1"/>
  <c r="AH60" i="4" a="1"/>
  <c r="AG29" i="4" a="1"/>
  <c r="AF29" i="4" a="1"/>
  <c r="AL89" i="4" a="1"/>
  <c r="AK89" i="4" a="1"/>
  <c r="Y89" i="4" a="1"/>
  <c r="X89" i="4" a="1"/>
  <c r="AK85" i="4" a="1"/>
  <c r="AL85" i="4" a="1"/>
  <c r="AL13" i="4" a="1"/>
  <c r="AK13" i="4" a="1"/>
  <c r="AC16" i="4" a="1"/>
  <c r="AD16" i="4" a="1"/>
  <c r="AL57" i="4" a="1"/>
  <c r="AK57" i="4" a="1"/>
  <c r="Y82" i="4" a="1"/>
  <c r="X82" i="4" a="1"/>
  <c r="AF40" i="4" a="1"/>
  <c r="AG40" i="4" a="1"/>
  <c r="AK80" i="4" a="1"/>
  <c r="AL80" i="4" a="1"/>
  <c r="Y8" i="4" a="1"/>
  <c r="X8" i="4" a="1"/>
  <c r="AD3" i="4" a="1"/>
  <c r="AC3" i="4" a="1"/>
  <c r="AC48" i="4" a="1"/>
  <c r="AD48" i="4" a="1"/>
  <c r="Y75" i="4" a="1"/>
  <c r="X75" i="4" a="1"/>
  <c r="AK42" i="4" a="1"/>
  <c r="AL42" i="4" a="1"/>
  <c r="AD31" i="4" a="1"/>
  <c r="AC31" i="4" a="1"/>
  <c r="AL50" i="4" a="1"/>
  <c r="AK50" i="4" a="1"/>
  <c r="AF61" i="4" a="1"/>
  <c r="AG61" i="4" a="1"/>
  <c r="AK87" i="4" a="1"/>
  <c r="AL87" i="4" a="1"/>
  <c r="Y76" i="4" a="1"/>
  <c r="X76" i="4" a="1"/>
  <c r="AK84" i="4" a="1"/>
  <c r="AL84" i="4" a="1"/>
  <c r="AK74" i="4" a="1"/>
  <c r="AL74" i="4" a="1"/>
  <c r="AL56" i="4" a="1"/>
  <c r="AK56" i="4" a="1"/>
  <c r="AF6" i="4" a="1"/>
  <c r="AG6" i="4" a="1"/>
  <c r="AC10" i="4" a="1"/>
  <c r="AD10" i="4" a="1"/>
  <c r="BG81" i="4" a="1"/>
  <c r="BH81" i="4" a="1"/>
  <c r="BF81" i="4" a="1"/>
  <c r="BF33" i="4" a="1"/>
  <c r="BG33" i="4" a="1"/>
  <c r="BH33" i="4" a="1"/>
  <c r="BF29" i="4" a="1"/>
  <c r="BH29" i="4" a="1"/>
  <c r="BG29" i="4" a="1"/>
  <c r="BF62" i="4" a="1"/>
  <c r="BH62" i="4" a="1"/>
  <c r="BG62" i="4" a="1"/>
  <c r="BF82" i="4" a="1"/>
  <c r="BH82" i="4" a="1"/>
  <c r="BG82" i="4" a="1"/>
  <c r="AG30" i="4" a="1"/>
  <c r="AF30" i="4" a="1"/>
  <c r="AC20" i="4" a="1"/>
  <c r="AD20" i="4" a="1"/>
  <c r="AC86" i="4" a="1"/>
  <c r="AD86" i="4" a="1"/>
  <c r="Y85" i="4" a="1"/>
  <c r="X85" i="4" a="1"/>
  <c r="AG51" i="4" a="1"/>
  <c r="AF51" i="4" a="1"/>
  <c r="AG24" i="4" a="1"/>
  <c r="AF24" i="4" a="1"/>
  <c r="X13" i="4" a="1"/>
  <c r="Y13" i="4" a="1"/>
  <c r="AL63" i="4" a="1"/>
  <c r="AK63" i="4" a="1"/>
  <c r="Y16" i="4" a="1"/>
  <c r="X16" i="4" a="1"/>
  <c r="AD25" i="4" a="1"/>
  <c r="AC25" i="4" a="1"/>
  <c r="X66" i="4" a="1"/>
  <c r="Y66" i="4" a="1"/>
  <c r="X88" i="4" a="1"/>
  <c r="Y88" i="4" a="1"/>
  <c r="AK47" i="4" a="1"/>
  <c r="AL47" i="4" a="1"/>
  <c r="Y47" i="4" a="1"/>
  <c r="X47" i="4" a="1"/>
  <c r="AG38" i="4" a="1"/>
  <c r="AF38" i="4" a="1"/>
  <c r="AL38" i="4" a="1"/>
  <c r="AK38" i="4" a="1"/>
  <c r="X11" i="4" a="1"/>
  <c r="Y11" i="4" a="1"/>
  <c r="AC77" i="4" a="1"/>
  <c r="AD77" i="4" a="1"/>
  <c r="AC78" i="4" a="1"/>
  <c r="AD78" i="4" a="1"/>
  <c r="X15" i="4" a="1"/>
  <c r="Y15" i="4" a="1"/>
  <c r="AG48" i="4" a="1"/>
  <c r="AF48" i="4" a="1"/>
  <c r="X65" i="4" a="1"/>
  <c r="Y65" i="4" a="1"/>
  <c r="AD46" i="4" a="1"/>
  <c r="AC46" i="4" a="1"/>
  <c r="X26" i="4" a="1"/>
  <c r="Y26" i="4" a="1"/>
  <c r="X23" i="4" a="1"/>
  <c r="Y23" i="4" a="1"/>
  <c r="AL23" i="4" a="1"/>
  <c r="AK23" i="4" a="1"/>
  <c r="AK41" i="4" a="1"/>
  <c r="AL41" i="4" a="1"/>
  <c r="AD14" i="4" a="1"/>
  <c r="AC14" i="4" a="1"/>
  <c r="AC81" i="4" a="1"/>
  <c r="AD81" i="4" a="1"/>
  <c r="AL31" i="4" a="1"/>
  <c r="AK31" i="4" a="1"/>
  <c r="X50" i="4" a="1"/>
  <c r="Y50" i="4" a="1"/>
  <c r="AK49" i="4" a="1"/>
  <c r="AL49" i="4" a="1"/>
  <c r="X84" i="4" a="1"/>
  <c r="Y84" i="4" a="1"/>
  <c r="X37" i="4" a="1"/>
  <c r="Y37" i="4" a="1"/>
  <c r="AF93" i="4" a="1"/>
  <c r="AG93" i="4" a="1"/>
  <c r="AG56" i="4" a="1"/>
  <c r="AF56" i="4" a="1"/>
  <c r="AF36" i="4" a="1"/>
  <c r="AG36" i="4" a="1"/>
  <c r="BG18" i="4" a="1"/>
  <c r="BF18" i="4" a="1"/>
  <c r="BH18" i="4" a="1"/>
  <c r="BG84" i="4" a="1"/>
  <c r="BH84" i="4" a="1"/>
  <c r="BF84" i="4" a="1"/>
  <c r="BG26" i="4" a="1"/>
  <c r="BF26" i="4" a="1"/>
  <c r="BH26" i="4" a="1"/>
  <c r="BH39" i="4" a="1"/>
  <c r="BF39" i="4" a="1"/>
  <c r="BG39" i="4" a="1"/>
  <c r="BH35" i="4" a="1"/>
  <c r="BF35" i="4" a="1"/>
  <c r="BG35" i="4" a="1"/>
  <c r="BH66" i="4" a="1"/>
  <c r="BF66" i="4" a="1"/>
  <c r="BG66" i="4" a="1"/>
  <c r="BF85" i="4" a="1"/>
  <c r="BH85" i="4" a="1"/>
  <c r="BG85" i="4" a="1"/>
  <c r="BG6" i="4" a="1"/>
  <c r="BH6" i="4" a="1"/>
  <c r="BF6" i="4" a="1"/>
  <c r="BF5" i="4" a="1"/>
  <c r="BG5" i="4" a="1"/>
  <c r="BH5" i="4" a="1"/>
  <c r="BH83" i="4" a="1"/>
  <c r="BF83" i="4" a="1"/>
  <c r="BG83" i="4" a="1"/>
  <c r="BF23" i="4" a="1"/>
  <c r="BG23" i="4" a="1"/>
  <c r="BH23" i="4" a="1"/>
  <c r="BH49" i="4" a="1"/>
  <c r="BF49" i="4" a="1"/>
  <c r="BG49" i="4" a="1"/>
  <c r="BG68" i="4" a="1"/>
  <c r="BF68" i="4" a="1"/>
  <c r="BH68" i="4" a="1"/>
  <c r="BF19" i="4" a="1"/>
  <c r="BG19" i="4" a="1"/>
  <c r="BH19" i="4" a="1"/>
  <c r="BF88" i="4" a="1"/>
  <c r="BH88" i="4" a="1"/>
  <c r="BG88" i="4" a="1"/>
  <c r="BG45" i="4" a="1"/>
  <c r="BH45" i="4" a="1"/>
  <c r="BF45" i="4" a="1"/>
  <c r="BG25" i="4" a="1"/>
  <c r="BF25" i="4" a="1"/>
  <c r="BH25" i="4" a="1"/>
  <c r="BF28" i="4" a="1"/>
  <c r="BG28" i="4" a="1"/>
  <c r="BH28" i="4" a="1"/>
  <c r="BH10" i="4" a="1"/>
  <c r="BF10" i="4" a="1"/>
  <c r="BG10" i="4" a="1"/>
  <c r="BF11" i="4" a="1"/>
  <c r="BG11" i="4" a="1"/>
  <c r="BH11" i="4" a="1"/>
  <c r="BG63" i="4" a="1"/>
  <c r="BH63" i="4" a="1"/>
  <c r="BF63" i="4" a="1"/>
  <c r="BF20" i="4" a="1"/>
  <c r="BH20" i="4" a="1"/>
  <c r="BG20" i="4" a="1"/>
  <c r="BH87" i="4" a="1"/>
  <c r="BF87" i="4" a="1"/>
  <c r="BG87" i="4" a="1"/>
  <c r="BF69" i="4" a="1"/>
  <c r="BG69" i="4" a="1"/>
  <c r="BH69" i="4" a="1"/>
  <c r="BH90" i="4" a="1"/>
  <c r="BF90" i="4" a="1"/>
  <c r="BG90" i="4" a="1"/>
  <c r="BF71" i="4" a="1"/>
  <c r="BG71" i="4" a="1"/>
  <c r="BH71" i="4" a="1"/>
  <c r="BG31" i="4" a="1"/>
  <c r="BF31" i="4" a="1"/>
  <c r="BH31" i="4" a="1"/>
  <c r="BG8" i="4" a="1"/>
  <c r="BF8" i="4" a="1"/>
  <c r="BH8" i="4" a="1"/>
  <c r="BG24" i="4" a="1"/>
  <c r="BF24" i="4" a="1"/>
  <c r="BH24" i="4" a="1"/>
  <c r="BG4" i="4" a="1"/>
  <c r="BH4" i="4" a="1"/>
  <c r="BF4" i="4" a="1"/>
  <c r="BF44" i="4" a="1"/>
  <c r="BH44" i="4" a="1"/>
  <c r="BG44" i="4" a="1"/>
  <c r="BH54" i="4" a="1"/>
  <c r="BF54" i="4" a="1"/>
  <c r="BG54" i="4" a="1"/>
  <c r="BH61" i="4" a="1"/>
  <c r="BG61" i="4" a="1"/>
  <c r="BF61" i="4" a="1"/>
  <c r="BG91" i="4" a="1"/>
  <c r="BH91" i="4" a="1"/>
  <c r="BF91" i="4" a="1"/>
  <c r="BH32" i="4" a="1"/>
  <c r="BG32" i="4" a="1"/>
  <c r="BF32" i="4" a="1"/>
  <c r="BG52" i="4" a="1"/>
  <c r="BF52" i="4" a="1"/>
  <c r="BH52" i="4" a="1"/>
  <c r="BG50" i="4" a="1"/>
  <c r="BH50" i="4" a="1"/>
  <c r="BF50" i="4" a="1"/>
  <c r="BG22" i="4" a="1"/>
  <c r="BH22" i="4" a="1"/>
  <c r="BF22" i="4" a="1"/>
  <c r="BG15" i="4" a="1"/>
  <c r="BH15" i="4" a="1"/>
  <c r="BF15" i="4" a="1"/>
  <c r="BF46" i="4" a="1"/>
  <c r="BG46" i="4" a="1"/>
  <c r="BH46" i="4" a="1"/>
  <c r="BF40" i="4" a="1"/>
  <c r="BH40" i="4" a="1"/>
  <c r="BG40" i="4" a="1"/>
  <c r="BF13" i="4" a="1"/>
  <c r="BG13" i="4" a="1"/>
  <c r="BH13" i="4" a="1"/>
  <c r="BF78" i="4" a="1"/>
  <c r="BG78" i="4" a="1"/>
  <c r="BH78" i="4" a="1"/>
  <c r="BG89" i="4" a="1"/>
  <c r="BH89" i="4" a="1"/>
  <c r="BF89" i="4" a="1"/>
  <c r="BG37" i="4" a="1"/>
  <c r="BH37" i="4" a="1"/>
  <c r="BF37" i="4" a="1"/>
  <c r="CP21" i="4"/>
  <c r="CE21" i="4" a="1"/>
  <c r="AB21" i="4" a="1"/>
  <c r="CB21" i="4" a="1"/>
  <c r="BM21" i="4" a="1"/>
  <c r="CA21" i="4" a="1"/>
  <c r="BZ21" i="4" a="1"/>
  <c r="CH21" i="4" a="1"/>
  <c r="BF21" i="4" a="1"/>
  <c r="AH21" i="4" a="1"/>
  <c r="BH21" i="4" a="1"/>
  <c r="CI21" i="4" a="1"/>
  <c r="CJ21" i="4" a="1"/>
  <c r="CC21" i="4" a="1"/>
  <c r="CD21" i="4" a="1"/>
  <c r="BG21" i="4" a="1"/>
  <c r="BY21" i="4" a="1"/>
  <c r="BK21" i="4" a="1"/>
  <c r="CG21" i="4" a="1"/>
  <c r="Z21" i="4" a="1"/>
  <c r="AJ21" i="4" a="1"/>
  <c r="CF21" i="4" a="1"/>
  <c r="CM21" i="4"/>
  <c r="BG74" i="4" a="1"/>
  <c r="BH74" i="4" a="1"/>
  <c r="BF74" i="4" a="1"/>
  <c r="BH93" i="4" a="1"/>
  <c r="BF93" i="4" a="1"/>
  <c r="BG93" i="4" a="1"/>
  <c r="BF79" i="4" a="1"/>
  <c r="BG79" i="4" a="1"/>
  <c r="BH79" i="4" a="1"/>
  <c r="CK60" i="4" a="1"/>
  <c r="CL60" i="4" a="1"/>
  <c r="CN60" i="4" a="1"/>
  <c r="CO60" i="4" a="1"/>
  <c r="CO21" i="4" a="1"/>
  <c r="CN21" i="4" a="1"/>
  <c r="CK21" i="4" a="1"/>
  <c r="CL21" i="4" a="1"/>
  <c r="E389" i="15" l="1"/>
  <c r="E234" i="15"/>
  <c r="E227" i="15"/>
  <c r="F226" i="15" s="1" a="1"/>
  <c r="F226" i="15" s="1"/>
  <c r="E112" i="15"/>
  <c r="E110" i="15"/>
  <c r="E226" i="15"/>
  <c r="E364" i="15"/>
  <c r="CS88" i="4"/>
  <c r="CT88" i="4" s="1"/>
  <c r="E91" i="15"/>
  <c r="W4" i="4"/>
  <c r="AV1194" i="13" s="1"/>
  <c r="AA4" i="4"/>
  <c r="F4" i="69" s="1"/>
  <c r="E484" i="15"/>
  <c r="E324" i="15"/>
  <c r="E65" i="15"/>
  <c r="CS10" i="4"/>
  <c r="CT10" i="4" s="1"/>
  <c r="CQ18" i="4"/>
  <c r="CR18" i="4" s="1"/>
  <c r="J11" i="69"/>
  <c r="CS29" i="4"/>
  <c r="CT29" i="4" s="1"/>
  <c r="CS33" i="4"/>
  <c r="CT33" i="4" s="1"/>
  <c r="F4" i="4"/>
  <c r="CS4" i="4"/>
  <c r="CT4" i="4" s="1"/>
  <c r="AM4" i="4"/>
  <c r="AV303" i="13" s="1"/>
  <c r="AV402" i="13" s="1"/>
  <c r="CS38" i="4"/>
  <c r="CT38" i="4" s="1"/>
  <c r="CS47" i="4"/>
  <c r="CT47" i="4" s="1"/>
  <c r="CS19" i="4"/>
  <c r="CT19" i="4" s="1"/>
  <c r="AX5" i="4" a="1"/>
  <c r="AX5" i="4" s="1"/>
  <c r="AY5" i="4" s="1"/>
  <c r="T5" i="69" s="1"/>
  <c r="BT25" i="4"/>
  <c r="BT23" i="4"/>
  <c r="BT5" i="4"/>
  <c r="BT52" i="4"/>
  <c r="AX25" i="4" a="1"/>
  <c r="AX25" i="4" s="1"/>
  <c r="AY25" i="4" s="1"/>
  <c r="AV126" i="13" s="1"/>
  <c r="AX76" i="4" a="1"/>
  <c r="AX76" i="4" s="1"/>
  <c r="AY76" i="4" s="1"/>
  <c r="AV177" i="13" s="1"/>
  <c r="E72" i="4"/>
  <c r="BT48" i="4"/>
  <c r="E185" i="15"/>
  <c r="CS64" i="4"/>
  <c r="CT64" i="4" s="1"/>
  <c r="CS57" i="4"/>
  <c r="CT57" i="4" s="1"/>
  <c r="CS7" i="4"/>
  <c r="CT7" i="4" s="1"/>
  <c r="CW58" i="4" a="1"/>
  <c r="CW58" i="4" s="1"/>
  <c r="E345" i="15"/>
  <c r="E376" i="15"/>
  <c r="E78" i="15"/>
  <c r="E82" i="15"/>
  <c r="CS18" i="4"/>
  <c r="CT18" i="4" s="1"/>
  <c r="E76" i="15"/>
  <c r="E308" i="15"/>
  <c r="E269" i="15"/>
  <c r="CS62" i="4"/>
  <c r="CT62" i="4" s="1"/>
  <c r="E359" i="15"/>
  <c r="M3" i="69"/>
  <c r="BT35" i="4"/>
  <c r="BT80" i="4"/>
  <c r="BT32" i="4"/>
  <c r="AU10" i="69"/>
  <c r="AV10" i="69" s="1"/>
  <c r="T14" i="69"/>
  <c r="AU14" i="69"/>
  <c r="BT59" i="4"/>
  <c r="AX46" i="4" a="1"/>
  <c r="AX46" i="4" s="1"/>
  <c r="AY46" i="4" s="1"/>
  <c r="AV147" i="13" s="1"/>
  <c r="AX63" i="4" a="1"/>
  <c r="AX63" i="4" s="1"/>
  <c r="AY63" i="4" s="1"/>
  <c r="AV164" i="13" s="1"/>
  <c r="BT92" i="4"/>
  <c r="BT66" i="4"/>
  <c r="AU16" i="69"/>
  <c r="BT56" i="4"/>
  <c r="M14" i="69"/>
  <c r="AX78" i="4" a="1"/>
  <c r="AX78" i="4" s="1"/>
  <c r="AY78" i="4" s="1"/>
  <c r="AV179" i="13" s="1"/>
  <c r="AX61" i="4" a="1"/>
  <c r="AX61" i="4" s="1"/>
  <c r="AY61" i="4" s="1"/>
  <c r="AV162" i="13" s="1"/>
  <c r="AX20" i="4" a="1"/>
  <c r="AX20" i="4" s="1"/>
  <c r="AY20" i="4" s="1"/>
  <c r="AV121" i="13" s="1"/>
  <c r="E50" i="4"/>
  <c r="E57" i="4"/>
  <c r="J17" i="69"/>
  <c r="CS42" i="4"/>
  <c r="CT42" i="4" s="1"/>
  <c r="E62" i="4"/>
  <c r="CS81" i="4"/>
  <c r="CT81" i="4" s="1"/>
  <c r="E35" i="4"/>
  <c r="CS73" i="4"/>
  <c r="CT73" i="4" s="1"/>
  <c r="E73" i="4"/>
  <c r="CS41" i="4"/>
  <c r="CT41" i="4" s="1"/>
  <c r="CS56" i="4"/>
  <c r="CT56" i="4" s="1"/>
  <c r="E42" i="4"/>
  <c r="BT90" i="4"/>
  <c r="CS36" i="4"/>
  <c r="CT36" i="4" s="1"/>
  <c r="BT87" i="4"/>
  <c r="BT31" i="4"/>
  <c r="BT42" i="4"/>
  <c r="BT53" i="4"/>
  <c r="BT20" i="4"/>
  <c r="T16" i="69"/>
  <c r="BE16" i="69" s="1" a="1"/>
  <c r="BE16" i="69" s="1"/>
  <c r="BT84" i="4"/>
  <c r="BT3" i="4"/>
  <c r="BT77" i="4"/>
  <c r="BT63" i="4"/>
  <c r="AU5" i="69"/>
  <c r="AX68" i="4" a="1"/>
  <c r="AX68" i="4" s="1"/>
  <c r="AY68" i="4" s="1"/>
  <c r="AV169" i="13" s="1"/>
  <c r="BT40" i="4"/>
  <c r="BT70" i="4"/>
  <c r="AX50" i="4" a="1"/>
  <c r="AX50" i="4" s="1"/>
  <c r="AY50" i="4" s="1"/>
  <c r="AV151" i="13" s="1"/>
  <c r="AX75" i="4" a="1"/>
  <c r="AX75" i="4" s="1"/>
  <c r="AY75" i="4" s="1"/>
  <c r="AV176" i="13" s="1"/>
  <c r="AX40" i="4" a="1"/>
  <c r="AX40" i="4" s="1"/>
  <c r="AY40" i="4" s="1"/>
  <c r="AV141" i="13" s="1"/>
  <c r="AX64" i="4" a="1"/>
  <c r="AX64" i="4" s="1"/>
  <c r="AY64" i="4" s="1"/>
  <c r="AV165" i="13" s="1"/>
  <c r="BT51" i="4"/>
  <c r="AV18" i="69"/>
  <c r="BT88" i="4"/>
  <c r="BT34" i="4"/>
  <c r="BT81" i="4"/>
  <c r="BT18" i="4"/>
  <c r="AZ4" i="69"/>
  <c r="AX86" i="4" a="1"/>
  <c r="AX86" i="4" s="1"/>
  <c r="AY86" i="4" s="1"/>
  <c r="AV187" i="13" s="1"/>
  <c r="BT37" i="4"/>
  <c r="BT83" i="4"/>
  <c r="BT12" i="4"/>
  <c r="T3" i="69"/>
  <c r="BT93" i="4"/>
  <c r="BT76" i="4"/>
  <c r="AX55" i="4" a="1"/>
  <c r="AX55" i="4" s="1"/>
  <c r="AY55" i="4" s="1"/>
  <c r="AV156" i="13" s="1"/>
  <c r="AX41" i="4" a="1"/>
  <c r="AX41" i="4" s="1"/>
  <c r="AY41" i="4" s="1"/>
  <c r="AV142" i="13" s="1"/>
  <c r="BT15" i="4"/>
  <c r="M18" i="69"/>
  <c r="T9" i="69"/>
  <c r="BE9" i="69" s="1" a="1"/>
  <c r="BE9" i="69" s="1"/>
  <c r="AU9" i="69"/>
  <c r="AX7" i="4" a="1"/>
  <c r="AX7" i="4" s="1"/>
  <c r="AY7" i="4" s="1"/>
  <c r="T12" i="69"/>
  <c r="BT16" i="4"/>
  <c r="BT79" i="4"/>
  <c r="BT85" i="4"/>
  <c r="BT28" i="4"/>
  <c r="T18" i="69"/>
  <c r="BL18" i="69" s="1"/>
  <c r="AX17" i="4" a="1"/>
  <c r="AX17" i="4" s="1"/>
  <c r="AY17" i="4" s="1"/>
  <c r="AX59" i="4" a="1"/>
  <c r="AX59" i="4" s="1"/>
  <c r="AY59" i="4" s="1"/>
  <c r="AV160" i="13" s="1"/>
  <c r="M16" i="69"/>
  <c r="M9" i="69"/>
  <c r="AX58" i="4" a="1"/>
  <c r="AX58" i="4" s="1"/>
  <c r="AY58" i="4" s="1"/>
  <c r="AV159" i="13" s="1"/>
  <c r="BT74" i="4"/>
  <c r="BT82" i="4"/>
  <c r="BT46" i="4"/>
  <c r="BT39" i="4"/>
  <c r="E34" i="4"/>
  <c r="J6" i="69"/>
  <c r="E37" i="4"/>
  <c r="E195" i="15"/>
  <c r="BT36" i="4"/>
  <c r="BT8" i="4"/>
  <c r="AE4" i="69" a="1"/>
  <c r="AE4" i="69" s="1"/>
  <c r="AP4" i="69" s="1" a="1"/>
  <c r="AP4" i="69" s="1"/>
  <c r="E7" i="4"/>
  <c r="BT62" i="4"/>
  <c r="BT13" i="4"/>
  <c r="J17" i="27"/>
  <c r="BT27" i="4"/>
  <c r="E142" i="15"/>
  <c r="M12" i="69"/>
  <c r="E77" i="15"/>
  <c r="E446" i="15"/>
  <c r="F446" i="15" s="1" a="1"/>
  <c r="F446" i="15" s="1"/>
  <c r="E362" i="15"/>
  <c r="AX62" i="4" a="1"/>
  <c r="AX62" i="4" s="1"/>
  <c r="AY62" i="4" s="1"/>
  <c r="AV163" i="13" s="1"/>
  <c r="BT7" i="4"/>
  <c r="AE4" i="4"/>
  <c r="AV1293" i="13" s="1"/>
  <c r="AX8" i="4" a="1"/>
  <c r="AX8" i="4" s="1"/>
  <c r="AY8" i="4" s="1"/>
  <c r="T8" i="69" s="1"/>
  <c r="BE8" i="69" s="1" a="1"/>
  <c r="BE8" i="69" s="1"/>
  <c r="E368" i="15"/>
  <c r="F368" i="15" s="1" a="1"/>
  <c r="F368" i="15" s="1"/>
  <c r="AX94" i="4" a="1"/>
  <c r="AX94" i="4" s="1"/>
  <c r="AY94" i="4" s="1"/>
  <c r="AV195" i="13" s="1"/>
  <c r="BT54" i="4"/>
  <c r="BT91" i="4"/>
  <c r="BT89" i="4"/>
  <c r="CL21" i="4"/>
  <c r="CK21" i="4"/>
  <c r="CN21" i="4"/>
  <c r="CO21" i="4"/>
  <c r="CO60" i="4"/>
  <c r="CN60" i="4"/>
  <c r="CL60" i="4"/>
  <c r="CK60" i="4"/>
  <c r="BH79" i="4"/>
  <c r="BG79" i="4"/>
  <c r="BF79" i="4"/>
  <c r="BG93" i="4"/>
  <c r="BF93" i="4"/>
  <c r="BH93" i="4"/>
  <c r="BF74" i="4"/>
  <c r="BH74" i="4"/>
  <c r="BG74" i="4"/>
  <c r="CF21" i="4"/>
  <c r="AJ21" i="4"/>
  <c r="Z21" i="4"/>
  <c r="CG21" i="4"/>
  <c r="BK21" i="4"/>
  <c r="BY21" i="4"/>
  <c r="BG21" i="4"/>
  <c r="CD21" i="4"/>
  <c r="CC21" i="4"/>
  <c r="CJ21" i="4"/>
  <c r="CI21" i="4"/>
  <c r="BH21" i="4"/>
  <c r="AH21" i="4"/>
  <c r="AU21" i="69" s="1"/>
  <c r="BF21" i="4"/>
  <c r="CH21" i="4"/>
  <c r="BZ21" i="4"/>
  <c r="CA21" i="4"/>
  <c r="BM21" i="4"/>
  <c r="CB21" i="4"/>
  <c r="AB21" i="4"/>
  <c r="CE21" i="4"/>
  <c r="BF37" i="4"/>
  <c r="BH37" i="4"/>
  <c r="BG37" i="4"/>
  <c r="BF89" i="4"/>
  <c r="BH89" i="4"/>
  <c r="BG89" i="4"/>
  <c r="BH78" i="4"/>
  <c r="BG78" i="4"/>
  <c r="BF78" i="4"/>
  <c r="BH13" i="4"/>
  <c r="BG13" i="4"/>
  <c r="BF13" i="4"/>
  <c r="BG40" i="4"/>
  <c r="BH40" i="4"/>
  <c r="BF40" i="4"/>
  <c r="BH46" i="4"/>
  <c r="BG46" i="4"/>
  <c r="BF46" i="4"/>
  <c r="BF15" i="4"/>
  <c r="BH15" i="4"/>
  <c r="BG15" i="4"/>
  <c r="BF22" i="4"/>
  <c r="BH22" i="4"/>
  <c r="BG22" i="4"/>
  <c r="BF50" i="4"/>
  <c r="BH50" i="4"/>
  <c r="BG50" i="4"/>
  <c r="BH52" i="4"/>
  <c r="BF52" i="4"/>
  <c r="BG52" i="4"/>
  <c r="BF32" i="4"/>
  <c r="BG32" i="4"/>
  <c r="BH32" i="4"/>
  <c r="BF91" i="4"/>
  <c r="BH91" i="4"/>
  <c r="BG91" i="4"/>
  <c r="BF61" i="4"/>
  <c r="BG61" i="4"/>
  <c r="BH61" i="4"/>
  <c r="BG54" i="4"/>
  <c r="BF54" i="4"/>
  <c r="BH54" i="4"/>
  <c r="BG44" i="4"/>
  <c r="BH44" i="4"/>
  <c r="BF44" i="4"/>
  <c r="BF4" i="4"/>
  <c r="BH4" i="4"/>
  <c r="BG4" i="4"/>
  <c r="BH24" i="4"/>
  <c r="BF24" i="4"/>
  <c r="BG24" i="4"/>
  <c r="BH8" i="4"/>
  <c r="BF8" i="4"/>
  <c r="BG8" i="4"/>
  <c r="BH31" i="4"/>
  <c r="BF31" i="4"/>
  <c r="BG31" i="4"/>
  <c r="BH71" i="4"/>
  <c r="BG71" i="4"/>
  <c r="BF71" i="4"/>
  <c r="BG90" i="4"/>
  <c r="BF90" i="4"/>
  <c r="BH90" i="4"/>
  <c r="BH69" i="4"/>
  <c r="BG69" i="4"/>
  <c r="BF69" i="4"/>
  <c r="BG87" i="4"/>
  <c r="BF87" i="4"/>
  <c r="BH87" i="4"/>
  <c r="BG20" i="4"/>
  <c r="BH20" i="4"/>
  <c r="BF20" i="4"/>
  <c r="BF63" i="4"/>
  <c r="BH63" i="4"/>
  <c r="BG63" i="4"/>
  <c r="BH11" i="4"/>
  <c r="BG11" i="4"/>
  <c r="BF11" i="4"/>
  <c r="BG10" i="4"/>
  <c r="BF10" i="4"/>
  <c r="BH10" i="4"/>
  <c r="BH28" i="4"/>
  <c r="BG28" i="4"/>
  <c r="BF28" i="4"/>
  <c r="BH25" i="4"/>
  <c r="BF25" i="4"/>
  <c r="BG25" i="4"/>
  <c r="BF45" i="4"/>
  <c r="BH45" i="4"/>
  <c r="BG45" i="4"/>
  <c r="BG88" i="4"/>
  <c r="BH88" i="4"/>
  <c r="BF88" i="4"/>
  <c r="BH19" i="4"/>
  <c r="BG19" i="4"/>
  <c r="BF19" i="4"/>
  <c r="BH68" i="4"/>
  <c r="BF68" i="4"/>
  <c r="BG68" i="4"/>
  <c r="BG49" i="4"/>
  <c r="BF49" i="4"/>
  <c r="BH49" i="4"/>
  <c r="BH23" i="4"/>
  <c r="BG23" i="4"/>
  <c r="BF23" i="4"/>
  <c r="BG83" i="4"/>
  <c r="BF83" i="4"/>
  <c r="BH83" i="4"/>
  <c r="BH5" i="4"/>
  <c r="BG5" i="4"/>
  <c r="BF5" i="4"/>
  <c r="BF6" i="4"/>
  <c r="BH6" i="4"/>
  <c r="BG6" i="4"/>
  <c r="BG85" i="4"/>
  <c r="BH85" i="4"/>
  <c r="BF85" i="4"/>
  <c r="BG66" i="4"/>
  <c r="BF66" i="4"/>
  <c r="BH66" i="4"/>
  <c r="BG35" i="4"/>
  <c r="BF35" i="4"/>
  <c r="BH35" i="4"/>
  <c r="BG39" i="4"/>
  <c r="BF39" i="4"/>
  <c r="BH39" i="4"/>
  <c r="BH26" i="4"/>
  <c r="BF26" i="4"/>
  <c r="BG26" i="4"/>
  <c r="BF84" i="4"/>
  <c r="BH84" i="4"/>
  <c r="BG84" i="4"/>
  <c r="BH18" i="4"/>
  <c r="BF18" i="4"/>
  <c r="BG18" i="4"/>
  <c r="AG36" i="4"/>
  <c r="AE36" i="4" s="1"/>
  <c r="AV1325" i="13" s="1"/>
  <c r="AF36" i="4"/>
  <c r="AF56" i="4"/>
  <c r="AG56" i="4"/>
  <c r="AE56" i="4" s="1"/>
  <c r="AV1345" i="13" s="1"/>
  <c r="AG93" i="4"/>
  <c r="AE93" i="4" s="1"/>
  <c r="AV1382" i="13" s="1"/>
  <c r="AF93" i="4"/>
  <c r="Y37" i="4"/>
  <c r="X37" i="4"/>
  <c r="CX37" i="4" s="1"/>
  <c r="AJ37" i="69" s="1"/>
  <c r="Y84" i="4"/>
  <c r="X84" i="4"/>
  <c r="CX84" i="4" s="1"/>
  <c r="AL49" i="4"/>
  <c r="AK49" i="4"/>
  <c r="Y50" i="4"/>
  <c r="P50" i="69" s="1"/>
  <c r="X50" i="4"/>
  <c r="CX50" i="4" s="1"/>
  <c r="AJ50" i="69" s="1"/>
  <c r="AK31" i="4"/>
  <c r="AL31" i="4"/>
  <c r="AD81" i="4"/>
  <c r="AC81" i="4"/>
  <c r="AC14" i="4"/>
  <c r="AD14" i="4"/>
  <c r="AL41" i="4"/>
  <c r="AK41" i="4"/>
  <c r="AK23" i="4"/>
  <c r="AL23" i="4"/>
  <c r="Y23" i="4"/>
  <c r="P23" i="69" s="1"/>
  <c r="X23" i="4"/>
  <c r="CX23" i="4" s="1"/>
  <c r="AJ23" i="69" s="1"/>
  <c r="Y26" i="4"/>
  <c r="X26" i="4"/>
  <c r="CX26" i="4" s="1"/>
  <c r="AJ26" i="69" s="1"/>
  <c r="AC46" i="4"/>
  <c r="AD46" i="4"/>
  <c r="Y65" i="4"/>
  <c r="X65" i="4"/>
  <c r="CX65" i="4" s="1"/>
  <c r="AF48" i="4"/>
  <c r="AG48" i="4"/>
  <c r="AE48" i="4" s="1"/>
  <c r="AV1337" i="13" s="1"/>
  <c r="Y15" i="4"/>
  <c r="X15" i="4"/>
  <c r="CX15" i="4" s="1"/>
  <c r="AJ15" i="69" s="1"/>
  <c r="AD78" i="4"/>
  <c r="AC78" i="4"/>
  <c r="AD77" i="4"/>
  <c r="AC77" i="4"/>
  <c r="Y11" i="4"/>
  <c r="X11" i="4"/>
  <c r="CX11" i="4" s="1"/>
  <c r="AJ11" i="69" s="1"/>
  <c r="AK38" i="4"/>
  <c r="AL38" i="4"/>
  <c r="AF38" i="4"/>
  <c r="AG38" i="4"/>
  <c r="AE38" i="4" s="1"/>
  <c r="AV1327" i="13" s="1"/>
  <c r="X47" i="4"/>
  <c r="CX47" i="4" s="1"/>
  <c r="AJ47" i="69" s="1"/>
  <c r="Y47" i="4"/>
  <c r="AL47" i="4"/>
  <c r="AK47" i="4"/>
  <c r="Y88" i="4"/>
  <c r="X88" i="4"/>
  <c r="CX88" i="4" s="1"/>
  <c r="Y66" i="4"/>
  <c r="X66" i="4"/>
  <c r="CX66" i="4" s="1"/>
  <c r="AC25" i="4"/>
  <c r="AD25" i="4"/>
  <c r="X16" i="4"/>
  <c r="CX16" i="4" s="1"/>
  <c r="AJ16" i="69" s="1"/>
  <c r="Y16" i="4"/>
  <c r="AK63" i="4"/>
  <c r="AL63" i="4"/>
  <c r="Y13" i="4"/>
  <c r="X13" i="4"/>
  <c r="CX13" i="4" s="1"/>
  <c r="AJ13" i="69" s="1"/>
  <c r="AF24" i="4"/>
  <c r="AG24" i="4"/>
  <c r="AE24" i="4" s="1"/>
  <c r="AV1313" i="13" s="1"/>
  <c r="AF51" i="4"/>
  <c r="AG51" i="4"/>
  <c r="AE51" i="4" s="1"/>
  <c r="AV1340" i="13" s="1"/>
  <c r="X85" i="4"/>
  <c r="CX85" i="4" s="1"/>
  <c r="Y85" i="4"/>
  <c r="AD86" i="4"/>
  <c r="AC86" i="4"/>
  <c r="AD20" i="4"/>
  <c r="AC20" i="4"/>
  <c r="AF30" i="4"/>
  <c r="AG30" i="4"/>
  <c r="AE30" i="4" s="1"/>
  <c r="AV1319" i="13" s="1"/>
  <c r="BG82" i="4"/>
  <c r="BH82" i="4"/>
  <c r="BF82" i="4"/>
  <c r="BG62" i="4"/>
  <c r="BH62" i="4"/>
  <c r="BF62" i="4"/>
  <c r="BG29" i="4"/>
  <c r="BH29" i="4"/>
  <c r="BF29" i="4"/>
  <c r="BH33" i="4"/>
  <c r="BG33" i="4"/>
  <c r="BF33" i="4"/>
  <c r="BF81" i="4"/>
  <c r="BH81" i="4"/>
  <c r="BG81" i="4"/>
  <c r="AD10" i="4"/>
  <c r="AC10" i="4"/>
  <c r="AG6" i="4"/>
  <c r="AF6" i="4"/>
  <c r="AK56" i="4"/>
  <c r="AL56" i="4"/>
  <c r="AL74" i="4"/>
  <c r="AK74" i="4"/>
  <c r="AL84" i="4"/>
  <c r="AK84" i="4"/>
  <c r="X76" i="4"/>
  <c r="CX76" i="4" s="1"/>
  <c r="Y76" i="4"/>
  <c r="AL87" i="4"/>
  <c r="AK87" i="4"/>
  <c r="AG61" i="4"/>
  <c r="AE61" i="4" s="1"/>
  <c r="AV1350" i="13" s="1"/>
  <c r="AF61" i="4"/>
  <c r="AK50" i="4"/>
  <c r="AL50" i="4"/>
  <c r="AC31" i="4"/>
  <c r="AD31" i="4"/>
  <c r="AL42" i="4"/>
  <c r="AK42" i="4"/>
  <c r="X75" i="4"/>
  <c r="CX75" i="4" s="1"/>
  <c r="Y75" i="4"/>
  <c r="AD48" i="4"/>
  <c r="AC48" i="4"/>
  <c r="AC3" i="4"/>
  <c r="AD3" i="4"/>
  <c r="X8" i="4"/>
  <c r="CX8" i="4" s="1"/>
  <c r="AJ8" i="69" s="1"/>
  <c r="Y8" i="4"/>
  <c r="AL80" i="4"/>
  <c r="AK80" i="4"/>
  <c r="AG40" i="4"/>
  <c r="AE40" i="4" s="1"/>
  <c r="AV1329" i="13" s="1"/>
  <c r="AF40" i="4"/>
  <c r="X82" i="4"/>
  <c r="CX82" i="4" s="1"/>
  <c r="Y82" i="4"/>
  <c r="AK57" i="4"/>
  <c r="AL57" i="4"/>
  <c r="AD16" i="4"/>
  <c r="AC16" i="4"/>
  <c r="AK13" i="4"/>
  <c r="AL13" i="4"/>
  <c r="AL85" i="4"/>
  <c r="AK85" i="4"/>
  <c r="X89" i="4"/>
  <c r="CX89" i="4" s="1"/>
  <c r="Y89" i="4"/>
  <c r="AK89" i="4"/>
  <c r="AL89" i="4"/>
  <c r="AF29" i="4"/>
  <c r="AG29" i="4"/>
  <c r="AE29" i="4" s="1"/>
  <c r="AV1318" i="13" s="1"/>
  <c r="AH60" i="4"/>
  <c r="CQ60" i="4" s="1"/>
  <c r="CR60" i="4" s="1"/>
  <c r="CF60" i="4"/>
  <c r="CJ60" i="4"/>
  <c r="CH60" i="4"/>
  <c r="BZ60" i="4"/>
  <c r="BK60" i="4"/>
  <c r="CI60" i="4"/>
  <c r="CC60" i="4"/>
  <c r="Z60" i="4"/>
  <c r="CG60" i="4"/>
  <c r="AB60" i="4"/>
  <c r="BY60" i="4"/>
  <c r="AJ60" i="4"/>
  <c r="CB60" i="4"/>
  <c r="CA60" i="4"/>
  <c r="CE60" i="4"/>
  <c r="CD60" i="4"/>
  <c r="BM60" i="4"/>
  <c r="BG12" i="4"/>
  <c r="BH12" i="4"/>
  <c r="BF12" i="4"/>
  <c r="BG38" i="4"/>
  <c r="BH38" i="4"/>
  <c r="BF38" i="4"/>
  <c r="BG14" i="4"/>
  <c r="BF14" i="4"/>
  <c r="BH14" i="4"/>
  <c r="AF27" i="4"/>
  <c r="AG27" i="4"/>
  <c r="AE27" i="4" s="1"/>
  <c r="AV1316" i="13" s="1"/>
  <c r="AC37" i="4"/>
  <c r="AD37" i="4"/>
  <c r="Y83" i="4"/>
  <c r="X83" i="4"/>
  <c r="CX83" i="4" s="1"/>
  <c r="AG84" i="4"/>
  <c r="AE84" i="4" s="1"/>
  <c r="AV1373" i="13" s="1"/>
  <c r="AF84" i="4"/>
  <c r="AG76" i="4"/>
  <c r="AE76" i="4" s="1"/>
  <c r="AV1365" i="13" s="1"/>
  <c r="AF76" i="4"/>
  <c r="AG87" i="4"/>
  <c r="AE87" i="4" s="1"/>
  <c r="AV1376" i="13" s="1"/>
  <c r="AF87" i="4"/>
  <c r="AF92" i="4"/>
  <c r="AG92" i="4"/>
  <c r="AE92" i="4" s="1"/>
  <c r="AV1381" i="13" s="1"/>
  <c r="AK14" i="4"/>
  <c r="AL14" i="4"/>
  <c r="AG9" i="4"/>
  <c r="AF9" i="4"/>
  <c r="Y46" i="4"/>
  <c r="X46" i="4"/>
  <c r="CX46" i="4" s="1"/>
  <c r="AJ46" i="69" s="1"/>
  <c r="AC39" i="4"/>
  <c r="AD39" i="4"/>
  <c r="Y3" i="4"/>
  <c r="X3" i="4"/>
  <c r="CX3" i="4" s="1"/>
  <c r="X5" i="4"/>
  <c r="CX5" i="4" s="1"/>
  <c r="AJ5" i="69" s="1"/>
  <c r="Y5" i="4"/>
  <c r="AD7" i="4"/>
  <c r="AC7" i="4"/>
  <c r="AF8" i="4"/>
  <c r="AG8" i="4"/>
  <c r="AF78" i="4"/>
  <c r="AG78" i="4"/>
  <c r="AE78" i="4" s="1"/>
  <c r="AV1367" i="13" s="1"/>
  <c r="AF62" i="4"/>
  <c r="AG62" i="4"/>
  <c r="AE62" i="4" s="1"/>
  <c r="AV1351" i="13" s="1"/>
  <c r="AD53" i="4"/>
  <c r="AC53" i="4"/>
  <c r="AC90" i="4"/>
  <c r="AD90" i="4"/>
  <c r="X40" i="4"/>
  <c r="CX40" i="4" s="1"/>
  <c r="AJ40" i="69" s="1"/>
  <c r="Y40" i="4"/>
  <c r="AL40" i="4"/>
  <c r="AK40" i="4"/>
  <c r="AF63" i="4"/>
  <c r="AG63" i="4"/>
  <c r="AE63" i="4" s="1"/>
  <c r="AV1352" i="13" s="1"/>
  <c r="AD12" i="4"/>
  <c r="AC12" i="4"/>
  <c r="AL51" i="4"/>
  <c r="AK51" i="4"/>
  <c r="AL28" i="4"/>
  <c r="AK28" i="4"/>
  <c r="X73" i="4"/>
  <c r="CX73" i="4" s="1"/>
  <c r="Y73" i="4"/>
  <c r="AD89" i="4"/>
  <c r="AC89" i="4"/>
  <c r="AL29" i="4"/>
  <c r="AK29" i="4"/>
  <c r="AC30" i="4"/>
  <c r="AD30" i="4"/>
  <c r="BG7" i="4"/>
  <c r="BH7" i="4"/>
  <c r="BF7" i="4"/>
  <c r="X44" i="4"/>
  <c r="CX44" i="4" s="1"/>
  <c r="AJ44" i="69" s="1"/>
  <c r="Y44" i="4"/>
  <c r="AC36" i="4"/>
  <c r="AD36" i="4"/>
  <c r="AD56" i="4"/>
  <c r="AC56" i="4"/>
  <c r="AC83" i="4"/>
  <c r="AD83" i="4"/>
  <c r="AC34" i="4"/>
  <c r="AD34" i="4"/>
  <c r="AC84" i="4"/>
  <c r="AD84" i="4"/>
  <c r="AD61" i="4"/>
  <c r="AC61" i="4"/>
  <c r="AK81" i="4"/>
  <c r="AL81" i="4"/>
  <c r="AC64" i="4"/>
  <c r="AD64" i="4"/>
  <c r="Y41" i="4"/>
  <c r="X41" i="4"/>
  <c r="CX41" i="4" s="1"/>
  <c r="AJ41" i="69" s="1"/>
  <c r="AK59" i="4"/>
  <c r="AL59" i="4"/>
  <c r="AK52" i="4"/>
  <c r="AL52" i="4"/>
  <c r="AF26" i="4"/>
  <c r="AG26" i="4"/>
  <c r="AE26" i="4" s="1"/>
  <c r="AV1315" i="13" s="1"/>
  <c r="AF42" i="4"/>
  <c r="AG42" i="4"/>
  <c r="AE42" i="4" s="1"/>
  <c r="AV1331" i="13" s="1"/>
  <c r="AF5" i="4"/>
  <c r="AG5" i="4"/>
  <c r="AF15" i="4"/>
  <c r="AG15" i="4"/>
  <c r="AL53" i="4"/>
  <c r="AK53" i="4"/>
  <c r="X90" i="4"/>
  <c r="CX90" i="4" s="1"/>
  <c r="Y90" i="4"/>
  <c r="AG80" i="4"/>
  <c r="AE80" i="4" s="1"/>
  <c r="AV1369" i="13" s="1"/>
  <c r="AF80" i="4"/>
  <c r="AK33" i="4"/>
  <c r="AL33" i="4"/>
  <c r="AL88" i="4"/>
  <c r="AK88" i="4"/>
  <c r="AL66" i="4"/>
  <c r="AK66" i="4"/>
  <c r="Y29" i="4"/>
  <c r="X29" i="4"/>
  <c r="CX29" i="4" s="1"/>
  <c r="AJ29" i="69" s="1"/>
  <c r="AC70" i="4"/>
  <c r="AD70" i="4"/>
  <c r="X30" i="4"/>
  <c r="CX30" i="4" s="1"/>
  <c r="AJ30" i="69" s="1"/>
  <c r="Y30" i="4"/>
  <c r="BG77" i="4"/>
  <c r="BH77" i="4"/>
  <c r="BF77" i="4"/>
  <c r="BF70" i="4"/>
  <c r="BG70" i="4"/>
  <c r="BH70" i="4"/>
  <c r="BG75" i="4"/>
  <c r="BH75" i="4"/>
  <c r="BF75" i="4"/>
  <c r="BF42" i="4"/>
  <c r="BG42" i="4"/>
  <c r="BH42" i="4"/>
  <c r="AK44" i="4"/>
  <c r="AL44" i="4"/>
  <c r="AL36" i="4"/>
  <c r="AK36" i="4"/>
  <c r="Y32" i="4"/>
  <c r="P32" i="69" s="1"/>
  <c r="X32" i="4"/>
  <c r="CX32" i="4" s="1"/>
  <c r="AJ32" i="69" s="1"/>
  <c r="X56" i="4"/>
  <c r="CX56" i="4" s="1"/>
  <c r="Y56" i="4"/>
  <c r="AK93" i="4"/>
  <c r="AL93" i="4"/>
  <c r="AG37" i="4"/>
  <c r="AE37" i="4" s="1"/>
  <c r="AV1326" i="13" s="1"/>
  <c r="AF37" i="4"/>
  <c r="Y34" i="4"/>
  <c r="X34" i="4"/>
  <c r="CX34" i="4" s="1"/>
  <c r="AJ34" i="69" s="1"/>
  <c r="Y87" i="4"/>
  <c r="X87" i="4"/>
  <c r="CX87" i="4" s="1"/>
  <c r="X31" i="4"/>
  <c r="CX31" i="4" s="1"/>
  <c r="AJ31" i="69" s="1"/>
  <c r="Y31" i="4"/>
  <c r="AF81" i="4"/>
  <c r="AG81" i="4"/>
  <c r="AE81" i="4" s="1"/>
  <c r="AV1370" i="13" s="1"/>
  <c r="AL22" i="4"/>
  <c r="AK22" i="4"/>
  <c r="Y64" i="4"/>
  <c r="X64" i="4"/>
  <c r="CX64" i="4" s="1"/>
  <c r="AG14" i="4"/>
  <c r="AF14" i="4"/>
  <c r="AC72" i="4"/>
  <c r="AD72" i="4"/>
  <c r="X39" i="4"/>
  <c r="CX39" i="4" s="1"/>
  <c r="AJ39" i="69" s="1"/>
  <c r="Y39" i="4"/>
  <c r="AK15" i="4"/>
  <c r="AL15" i="4"/>
  <c r="AF7" i="4"/>
  <c r="AG7" i="4"/>
  <c r="AG77" i="4"/>
  <c r="AE77" i="4" s="1"/>
  <c r="AV1366" i="13" s="1"/>
  <c r="AF77" i="4"/>
  <c r="Y80" i="4"/>
  <c r="X80" i="4"/>
  <c r="CX80" i="4" s="1"/>
  <c r="AG47" i="4"/>
  <c r="AE47" i="4" s="1"/>
  <c r="AV1336" i="13" s="1"/>
  <c r="AF47" i="4"/>
  <c r="AF57" i="4"/>
  <c r="AG57" i="4"/>
  <c r="AE57" i="4" s="1"/>
  <c r="AV1346" i="13" s="1"/>
  <c r="AD88" i="4"/>
  <c r="AC88" i="4"/>
  <c r="AF67" i="4"/>
  <c r="AG67" i="4"/>
  <c r="AE67" i="4" s="1"/>
  <c r="AV1356" i="13" s="1"/>
  <c r="AC63" i="4"/>
  <c r="AD63" i="4"/>
  <c r="AC13" i="4"/>
  <c r="AD13" i="4"/>
  <c r="AL69" i="4"/>
  <c r="AK69" i="4"/>
  <c r="X28" i="4"/>
  <c r="CX28" i="4" s="1"/>
  <c r="AJ28" i="69" s="1"/>
  <c r="Y28" i="4"/>
  <c r="AC91" i="4"/>
  <c r="AD91" i="4"/>
  <c r="AL91" i="4"/>
  <c r="AK91" i="4"/>
  <c r="BG17" i="4"/>
  <c r="BF17" i="4"/>
  <c r="BH17" i="4"/>
  <c r="BG94" i="4"/>
  <c r="BH94" i="4"/>
  <c r="BF94" i="4"/>
  <c r="BF57" i="4"/>
  <c r="BG57" i="4"/>
  <c r="BH57" i="4"/>
  <c r="AD45" i="4"/>
  <c r="AC45" i="4"/>
  <c r="AC44" i="4"/>
  <c r="AD44" i="4"/>
  <c r="AL79" i="4"/>
  <c r="AK79" i="4"/>
  <c r="AC27" i="4"/>
  <c r="AD27" i="4"/>
  <c r="AC32" i="4"/>
  <c r="AD32" i="4"/>
  <c r="AD74" i="4"/>
  <c r="AC74" i="4"/>
  <c r="AK34" i="4"/>
  <c r="AL34" i="4"/>
  <c r="Y61" i="4"/>
  <c r="X61" i="4"/>
  <c r="CX61" i="4" s="1"/>
  <c r="AL64" i="4"/>
  <c r="AK64" i="4"/>
  <c r="AD41" i="4"/>
  <c r="AC41" i="4"/>
  <c r="AD59" i="4"/>
  <c r="AC59" i="4"/>
  <c r="AD23" i="4"/>
  <c r="AC23" i="4"/>
  <c r="Y72" i="4"/>
  <c r="X72" i="4"/>
  <c r="CX72" i="4" s="1"/>
  <c r="AG52" i="4"/>
  <c r="AE52" i="4" s="1"/>
  <c r="AV1341" i="13" s="1"/>
  <c r="AF52" i="4"/>
  <c r="Y42" i="4"/>
  <c r="X42" i="4"/>
  <c r="CX42" i="4" s="1"/>
  <c r="AJ42" i="69" s="1"/>
  <c r="AG46" i="4"/>
  <c r="AE46" i="4" s="1"/>
  <c r="AV1335" i="13" s="1"/>
  <c r="AF46" i="4"/>
  <c r="AL39" i="4"/>
  <c r="AK39" i="4"/>
  <c r="AG65" i="4"/>
  <c r="AE65" i="4" s="1"/>
  <c r="AV1354" i="13" s="1"/>
  <c r="AF65" i="4"/>
  <c r="AL48" i="4"/>
  <c r="AK48" i="4"/>
  <c r="AL35" i="4"/>
  <c r="AK35" i="4"/>
  <c r="AL5" i="4"/>
  <c r="AK5" i="4"/>
  <c r="AC15" i="4"/>
  <c r="AD15" i="4"/>
  <c r="AK8" i="4"/>
  <c r="AL8" i="4"/>
  <c r="AD62" i="4"/>
  <c r="AC62" i="4"/>
  <c r="Y57" i="4"/>
  <c r="X57" i="4"/>
  <c r="CX57" i="4" s="1"/>
  <c r="AG25" i="4"/>
  <c r="AE25" i="4" s="1"/>
  <c r="AV1314" i="13" s="1"/>
  <c r="AF25" i="4"/>
  <c r="Y67" i="4"/>
  <c r="X67" i="4"/>
  <c r="CX67" i="4" s="1"/>
  <c r="AD24" i="4"/>
  <c r="AC24" i="4"/>
  <c r="AC69" i="4"/>
  <c r="AD69" i="4"/>
  <c r="Y54" i="4"/>
  <c r="X54" i="4"/>
  <c r="CX54" i="4" s="1"/>
  <c r="AJ54" i="69" s="1"/>
  <c r="AC29" i="4"/>
  <c r="AD29" i="4"/>
  <c r="BG53" i="4"/>
  <c r="BH53" i="4"/>
  <c r="BF53" i="4"/>
  <c r="BG43" i="4"/>
  <c r="BF43" i="4"/>
  <c r="BH43" i="4"/>
  <c r="Y36" i="4"/>
  <c r="X36" i="4"/>
  <c r="CX36" i="4" s="1"/>
  <c r="AJ36" i="69" s="1"/>
  <c r="AF10" i="4"/>
  <c r="AG10" i="4"/>
  <c r="AF43" i="4"/>
  <c r="AG43" i="4"/>
  <c r="AE43" i="4" s="1"/>
  <c r="AV1332" i="13" s="1"/>
  <c r="AG32" i="4"/>
  <c r="AE32" i="4" s="1"/>
  <c r="AV1321" i="13" s="1"/>
  <c r="AF32" i="4"/>
  <c r="AF34" i="4"/>
  <c r="AG34" i="4"/>
  <c r="AE34" i="4" s="1"/>
  <c r="AV1323" i="13" s="1"/>
  <c r="Y22" i="4"/>
  <c r="X22" i="4"/>
  <c r="CX22" i="4" s="1"/>
  <c r="AJ22" i="69" s="1"/>
  <c r="AC52" i="4"/>
  <c r="AD52" i="4"/>
  <c r="AK75" i="4"/>
  <c r="AL75" i="4"/>
  <c r="AF75" i="4"/>
  <c r="AG75" i="4"/>
  <c r="AE75" i="4" s="1"/>
  <c r="AV1364" i="13" s="1"/>
  <c r="AC5" i="4"/>
  <c r="AD5" i="4"/>
  <c r="Y7" i="4"/>
  <c r="X7" i="4"/>
  <c r="CX7" i="4" s="1"/>
  <c r="AJ7" i="69" s="1"/>
  <c r="AL62" i="4"/>
  <c r="AK62" i="4"/>
  <c r="Y53" i="4"/>
  <c r="X53" i="4"/>
  <c r="CX53" i="4" s="1"/>
  <c r="AJ53" i="69" s="1"/>
  <c r="AL90" i="4"/>
  <c r="AK90" i="4"/>
  <c r="AC40" i="4"/>
  <c r="AD40" i="4"/>
  <c r="AG82" i="4"/>
  <c r="AE82" i="4" s="1"/>
  <c r="AV1371" i="13" s="1"/>
  <c r="AF82" i="4"/>
  <c r="Y33" i="4"/>
  <c r="X33" i="4"/>
  <c r="CX33" i="4" s="1"/>
  <c r="AJ33" i="69" s="1"/>
  <c r="AF12" i="4"/>
  <c r="AG12" i="4"/>
  <c r="X69" i="4"/>
  <c r="CX69" i="4" s="1"/>
  <c r="Y69" i="4"/>
  <c r="AG69" i="4"/>
  <c r="AE69" i="4" s="1"/>
  <c r="AV1358" i="13" s="1"/>
  <c r="AF69" i="4"/>
  <c r="AF91" i="4"/>
  <c r="AG91" i="4"/>
  <c r="AE91" i="4" s="1"/>
  <c r="AV1380" i="13" s="1"/>
  <c r="AC17" i="4"/>
  <c r="AD17" i="4"/>
  <c r="BF27" i="4"/>
  <c r="BH27" i="4"/>
  <c r="BG27" i="4"/>
  <c r="BH64" i="4"/>
  <c r="BF64" i="4"/>
  <c r="BG64" i="4"/>
  <c r="BH58" i="4"/>
  <c r="BG58" i="4"/>
  <c r="BF58" i="4"/>
  <c r="BG67" i="4"/>
  <c r="BH67" i="4"/>
  <c r="BF67" i="4"/>
  <c r="AK10" i="4"/>
  <c r="AL10" i="4"/>
  <c r="X43" i="4"/>
  <c r="CX43" i="4" s="1"/>
  <c r="AJ43" i="69" s="1"/>
  <c r="Y43" i="4"/>
  <c r="AK27" i="4"/>
  <c r="AL27" i="4"/>
  <c r="AD87" i="4"/>
  <c r="AC87" i="4"/>
  <c r="AD50" i="4"/>
  <c r="AC50" i="4"/>
  <c r="AC22" i="4"/>
  <c r="AD22" i="4"/>
  <c r="AG59" i="4"/>
  <c r="AE59" i="4" s="1"/>
  <c r="AV1348" i="13" s="1"/>
  <c r="AF59" i="4"/>
  <c r="AF23" i="4"/>
  <c r="AG23" i="4"/>
  <c r="AE23" i="4" s="1"/>
  <c r="AV1312" i="13" s="1"/>
  <c r="AG72" i="4"/>
  <c r="AE72" i="4" s="1"/>
  <c r="AV1361" i="13" s="1"/>
  <c r="AF72" i="4"/>
  <c r="AD26" i="4"/>
  <c r="AC26" i="4"/>
  <c r="AD42" i="4"/>
  <c r="AC42" i="4"/>
  <c r="X35" i="4"/>
  <c r="CX35" i="4" s="1"/>
  <c r="AJ35" i="69" s="1"/>
  <c r="Y35" i="4"/>
  <c r="P35" i="69" s="1"/>
  <c r="AF35" i="4"/>
  <c r="AG35" i="4"/>
  <c r="AE35" i="4" s="1"/>
  <c r="AV1324" i="13" s="1"/>
  <c r="X18" i="4"/>
  <c r="CX18" i="4" s="1"/>
  <c r="AJ18" i="69" s="1"/>
  <c r="Y18" i="4"/>
  <c r="AK7" i="4"/>
  <c r="AL7" i="4"/>
  <c r="AD11" i="4"/>
  <c r="AC11" i="4"/>
  <c r="AG68" i="4"/>
  <c r="AE68" i="4" s="1"/>
  <c r="AV1357" i="13" s="1"/>
  <c r="AF68" i="4"/>
  <c r="AC33" i="4"/>
  <c r="AD33" i="4"/>
  <c r="AD57" i="4"/>
  <c r="AC57" i="4"/>
  <c r="AF88" i="4"/>
  <c r="AG88" i="4"/>
  <c r="AE88" i="4" s="1"/>
  <c r="AV1377" i="13" s="1"/>
  <c r="AG54" i="4"/>
  <c r="AE54" i="4" s="1"/>
  <c r="AV1343" i="13" s="1"/>
  <c r="AF54" i="4"/>
  <c r="AF89" i="4"/>
  <c r="AG89" i="4"/>
  <c r="AE89" i="4" s="1"/>
  <c r="AV1378" i="13" s="1"/>
  <c r="AG17" i="4"/>
  <c r="AF17" i="4"/>
  <c r="X17" i="4"/>
  <c r="CX17" i="4" s="1"/>
  <c r="AJ17" i="69" s="1"/>
  <c r="Y17" i="4"/>
  <c r="AL86" i="4"/>
  <c r="AK86" i="4"/>
  <c r="BH36" i="4"/>
  <c r="BG36" i="4"/>
  <c r="BF36" i="4"/>
  <c r="BH92" i="4"/>
  <c r="BF92" i="4"/>
  <c r="BG92" i="4"/>
  <c r="BH41" i="4"/>
  <c r="BF41" i="4"/>
  <c r="BG41" i="4"/>
  <c r="BH48" i="4"/>
  <c r="BF48" i="4"/>
  <c r="BG48" i="4"/>
  <c r="BG86" i="4"/>
  <c r="BH86" i="4"/>
  <c r="BF86" i="4"/>
  <c r="AG44" i="4"/>
  <c r="AE44" i="4" s="1"/>
  <c r="AV1333" i="13" s="1"/>
  <c r="AF44" i="4"/>
  <c r="AC6" i="4"/>
  <c r="AD6" i="4"/>
  <c r="AD43" i="4"/>
  <c r="AC43" i="4"/>
  <c r="AL32" i="4"/>
  <c r="AK32" i="4"/>
  <c r="AF74" i="4"/>
  <c r="AG74" i="4"/>
  <c r="AE74" i="4" s="1"/>
  <c r="AV1363" i="13" s="1"/>
  <c r="X74" i="4"/>
  <c r="CX74" i="4" s="1"/>
  <c r="Y74" i="4"/>
  <c r="X49" i="4"/>
  <c r="CX49" i="4" s="1"/>
  <c r="AJ49" i="69" s="1"/>
  <c r="Y49" i="4"/>
  <c r="AF50" i="4"/>
  <c r="AG50" i="4"/>
  <c r="AE50" i="4" s="1"/>
  <c r="AV1339" i="13" s="1"/>
  <c r="AK92" i="4"/>
  <c r="AL92" i="4"/>
  <c r="Y81" i="4"/>
  <c r="X81" i="4"/>
  <c r="CX81" i="4" s="1"/>
  <c r="AF19" i="4"/>
  <c r="AG19" i="4"/>
  <c r="AL65" i="4"/>
  <c r="AK65" i="4"/>
  <c r="AC35" i="4"/>
  <c r="AD35" i="4"/>
  <c r="AK3" i="4"/>
  <c r="AL3" i="4"/>
  <c r="AL71" i="4"/>
  <c r="AK71" i="4"/>
  <c r="AF71" i="4"/>
  <c r="AG71" i="4"/>
  <c r="AE71" i="4" s="1"/>
  <c r="AV1360" i="13" s="1"/>
  <c r="AL18" i="4"/>
  <c r="AK18" i="4"/>
  <c r="AL77" i="4"/>
  <c r="AK77" i="4"/>
  <c r="AF11" i="4"/>
  <c r="AG11" i="4"/>
  <c r="AC38" i="4"/>
  <c r="AD38" i="4"/>
  <c r="Y51" i="4"/>
  <c r="P51" i="69" s="1"/>
  <c r="X51" i="4"/>
  <c r="CX51" i="4" s="1"/>
  <c r="AJ51" i="69" s="1"/>
  <c r="AK54" i="4"/>
  <c r="AL54" i="4"/>
  <c r="AC28" i="4"/>
  <c r="AD28" i="4"/>
  <c r="Y70" i="4"/>
  <c r="X70" i="4"/>
  <c r="CX70" i="4" s="1"/>
  <c r="AG86" i="4"/>
  <c r="AE86" i="4" s="1"/>
  <c r="AV1375" i="13" s="1"/>
  <c r="AF86" i="4"/>
  <c r="BH76" i="4"/>
  <c r="BF76" i="4"/>
  <c r="BG76" i="4"/>
  <c r="BF59" i="4"/>
  <c r="BH59" i="4"/>
  <c r="BG59" i="4"/>
  <c r="BG56" i="4"/>
  <c r="BH56" i="4"/>
  <c r="BF56" i="4"/>
  <c r="BG47" i="4"/>
  <c r="BF47" i="4"/>
  <c r="BH47" i="4"/>
  <c r="BF30" i="4"/>
  <c r="BH30" i="4"/>
  <c r="BG30" i="4"/>
  <c r="BH73" i="4"/>
  <c r="BG73" i="4"/>
  <c r="BF73" i="4"/>
  <c r="BH34" i="4"/>
  <c r="BF34" i="4"/>
  <c r="BG34" i="4"/>
  <c r="AD79" i="4"/>
  <c r="AC79" i="4"/>
  <c r="AL6" i="4"/>
  <c r="AK6" i="4"/>
  <c r="AL43" i="4"/>
  <c r="AK43" i="4"/>
  <c r="Y27" i="4"/>
  <c r="X27" i="4"/>
  <c r="CX27" i="4" s="1"/>
  <c r="AJ27" i="69" s="1"/>
  <c r="AC93" i="4"/>
  <c r="AD93" i="4"/>
  <c r="AL61" i="4"/>
  <c r="AK61" i="4"/>
  <c r="Y92" i="4"/>
  <c r="X92" i="4"/>
  <c r="CX92" i="4" s="1"/>
  <c r="AF64" i="4"/>
  <c r="AG64" i="4"/>
  <c r="AE64" i="4" s="1"/>
  <c r="AV1353" i="13" s="1"/>
  <c r="AD19" i="4"/>
  <c r="AC19" i="4"/>
  <c r="Y14" i="4"/>
  <c r="X14" i="4"/>
  <c r="CX14" i="4" s="1"/>
  <c r="AJ14" i="69" s="1"/>
  <c r="AD9" i="4"/>
  <c r="AC9" i="4"/>
  <c r="Y52" i="4"/>
  <c r="X52" i="4"/>
  <c r="CX52" i="4" s="1"/>
  <c r="AJ52" i="69" s="1"/>
  <c r="AL26" i="4"/>
  <c r="AK26" i="4"/>
  <c r="AF39" i="4"/>
  <c r="AG39" i="4"/>
  <c r="AE39" i="4" s="1"/>
  <c r="AV1328" i="13" s="1"/>
  <c r="X48" i="4"/>
  <c r="CX48" i="4" s="1"/>
  <c r="AJ48" i="69" s="1"/>
  <c r="Y48" i="4"/>
  <c r="AF3" i="4"/>
  <c r="AG3" i="4"/>
  <c r="X71" i="4"/>
  <c r="CX71" i="4" s="1"/>
  <c r="Y71" i="4"/>
  <c r="AD18" i="4"/>
  <c r="AC18" i="4"/>
  <c r="AL78" i="4"/>
  <c r="AK78" i="4"/>
  <c r="AL11" i="4"/>
  <c r="AK11" i="4"/>
  <c r="AD68" i="4"/>
  <c r="AC68" i="4"/>
  <c r="AD47" i="4"/>
  <c r="AC47" i="4"/>
  <c r="AK82" i="4"/>
  <c r="AL82" i="4"/>
  <c r="AF66" i="4"/>
  <c r="AG66" i="4"/>
  <c r="AE66" i="4" s="1"/>
  <c r="AV1355" i="13" s="1"/>
  <c r="AK25" i="4"/>
  <c r="AL25" i="4"/>
  <c r="AL67" i="4"/>
  <c r="AK67" i="4"/>
  <c r="Y63" i="4"/>
  <c r="X63" i="4"/>
  <c r="CX63" i="4" s="1"/>
  <c r="AG13" i="4"/>
  <c r="AF13" i="4"/>
  <c r="AG85" i="4"/>
  <c r="AE85" i="4" s="1"/>
  <c r="AV1374" i="13" s="1"/>
  <c r="AF85" i="4"/>
  <c r="AD85" i="4"/>
  <c r="AC85" i="4"/>
  <c r="AK73" i="4"/>
  <c r="AL73" i="4"/>
  <c r="AG20" i="4"/>
  <c r="AF20" i="4"/>
  <c r="BH51" i="4"/>
  <c r="BF51" i="4"/>
  <c r="BG51" i="4"/>
  <c r="BG3" i="4"/>
  <c r="BH3" i="4"/>
  <c r="BF3" i="4"/>
  <c r="BF16" i="4"/>
  <c r="BH16" i="4"/>
  <c r="BG16" i="4"/>
  <c r="AL45" i="4"/>
  <c r="AK45" i="4"/>
  <c r="X79" i="4"/>
  <c r="CX79" i="4" s="1"/>
  <c r="Y79" i="4"/>
  <c r="AL37" i="4"/>
  <c r="AK37" i="4"/>
  <c r="AG83" i="4"/>
  <c r="AE83" i="4" s="1"/>
  <c r="AV1372" i="13" s="1"/>
  <c r="AF83" i="4"/>
  <c r="AC76" i="4"/>
  <c r="AD76" i="4"/>
  <c r="AD49" i="4"/>
  <c r="AC49" i="4"/>
  <c r="AF31" i="4"/>
  <c r="AG31" i="4"/>
  <c r="AE31" i="4" s="1"/>
  <c r="AV1320" i="13" s="1"/>
  <c r="AD92" i="4"/>
  <c r="AC92" i="4"/>
  <c r="AL19" i="4"/>
  <c r="AK19" i="4"/>
  <c r="Y19" i="4"/>
  <c r="X19" i="4"/>
  <c r="CX19" i="4" s="1"/>
  <c r="AJ19" i="69" s="1"/>
  <c r="AL9" i="4"/>
  <c r="AK9" i="4"/>
  <c r="AG41" i="4"/>
  <c r="AE41" i="4" s="1"/>
  <c r="AV1330" i="13" s="1"/>
  <c r="AF41" i="4"/>
  <c r="AL72" i="4"/>
  <c r="AK72" i="4"/>
  <c r="AL46" i="4"/>
  <c r="AK46" i="4"/>
  <c r="AD65" i="4"/>
  <c r="AC65" i="4"/>
  <c r="AC8" i="4"/>
  <c r="AD8" i="4"/>
  <c r="Y78" i="4"/>
  <c r="X78" i="4"/>
  <c r="CX78" i="4" s="1"/>
  <c r="Y62" i="4"/>
  <c r="X62" i="4"/>
  <c r="CX62" i="4" s="1"/>
  <c r="AC80" i="4"/>
  <c r="AD80" i="4"/>
  <c r="AK68" i="4"/>
  <c r="AL68" i="4"/>
  <c r="AF33" i="4"/>
  <c r="AG33" i="4"/>
  <c r="AE33" i="4" s="1"/>
  <c r="AV1322" i="13" s="1"/>
  <c r="AD66" i="4"/>
  <c r="AC66" i="4"/>
  <c r="AD67" i="4"/>
  <c r="AC67" i="4"/>
  <c r="AG16" i="4"/>
  <c r="AF16" i="4"/>
  <c r="Y12" i="4"/>
  <c r="X12" i="4"/>
  <c r="CX12" i="4" s="1"/>
  <c r="AJ12" i="69" s="1"/>
  <c r="X24" i="4"/>
  <c r="CX24" i="4" s="1"/>
  <c r="AJ24" i="69" s="1"/>
  <c r="Y24" i="4"/>
  <c r="AK24" i="4"/>
  <c r="AL24" i="4"/>
  <c r="AD54" i="4"/>
  <c r="AC54" i="4"/>
  <c r="AF28" i="4"/>
  <c r="AG28" i="4"/>
  <c r="AE28" i="4" s="1"/>
  <c r="AV1317" i="13" s="1"/>
  <c r="AK70" i="4"/>
  <c r="AL70" i="4"/>
  <c r="AK17" i="4"/>
  <c r="AL17" i="4"/>
  <c r="AL20" i="4"/>
  <c r="AK20" i="4"/>
  <c r="BH80" i="4"/>
  <c r="BF80" i="4"/>
  <c r="BG80" i="4"/>
  <c r="BG9" i="4"/>
  <c r="BF9" i="4"/>
  <c r="BH9" i="4"/>
  <c r="AF45" i="4"/>
  <c r="AG45" i="4"/>
  <c r="AE45" i="4" s="1"/>
  <c r="AV1334" i="13" s="1"/>
  <c r="Y45" i="4"/>
  <c r="X45" i="4"/>
  <c r="CX45" i="4" s="1"/>
  <c r="AJ45" i="69" s="1"/>
  <c r="AG79" i="4"/>
  <c r="AE79" i="4" s="1"/>
  <c r="AV1368" i="13" s="1"/>
  <c r="AF79" i="4"/>
  <c r="Y10" i="4"/>
  <c r="X10" i="4"/>
  <c r="CX10" i="4" s="1"/>
  <c r="AJ10" i="69" s="1"/>
  <c r="X6" i="4"/>
  <c r="CX6" i="4" s="1"/>
  <c r="AJ6" i="69" s="1"/>
  <c r="Y6" i="4"/>
  <c r="X93" i="4"/>
  <c r="CX93" i="4" s="1"/>
  <c r="Y93" i="4"/>
  <c r="AK83" i="4"/>
  <c r="AL83" i="4"/>
  <c r="AK76" i="4"/>
  <c r="AL76" i="4"/>
  <c r="AF49" i="4"/>
  <c r="AG49" i="4"/>
  <c r="AE49" i="4" s="1"/>
  <c r="AV1338" i="13" s="1"/>
  <c r="AF22" i="4"/>
  <c r="AG22" i="4"/>
  <c r="AE22" i="4" s="1"/>
  <c r="AV1311" i="13" s="1"/>
  <c r="Y9" i="4"/>
  <c r="X9" i="4"/>
  <c r="CX9" i="4" s="1"/>
  <c r="AJ9" i="69" s="1"/>
  <c r="Y59" i="4"/>
  <c r="X59" i="4"/>
  <c r="CX59" i="4" s="1"/>
  <c r="AC75" i="4"/>
  <c r="AD75" i="4"/>
  <c r="AC71" i="4"/>
  <c r="AD71" i="4"/>
  <c r="AG18" i="4"/>
  <c r="AF18" i="4"/>
  <c r="AF53" i="4"/>
  <c r="AG53" i="4"/>
  <c r="AE53" i="4" s="1"/>
  <c r="AV1342" i="13" s="1"/>
  <c r="AF90" i="4"/>
  <c r="AG90" i="4"/>
  <c r="AE90" i="4" s="1"/>
  <c r="AV1379" i="13" s="1"/>
  <c r="X77" i="4"/>
  <c r="CX77" i="4" s="1"/>
  <c r="Y77" i="4"/>
  <c r="Y68" i="4"/>
  <c r="X68" i="4"/>
  <c r="CX68" i="4" s="1"/>
  <c r="X38" i="4"/>
  <c r="CX38" i="4" s="1"/>
  <c r="AJ38" i="69" s="1"/>
  <c r="Y38" i="4"/>
  <c r="AC82" i="4"/>
  <c r="AD82" i="4"/>
  <c r="Y25" i="4"/>
  <c r="X25" i="4"/>
  <c r="CX25" i="4" s="1"/>
  <c r="AJ25" i="69" s="1"/>
  <c r="AL16" i="4"/>
  <c r="AK16" i="4"/>
  <c r="AK12" i="4"/>
  <c r="AL12" i="4"/>
  <c r="AC51" i="4"/>
  <c r="AD51" i="4"/>
  <c r="AF73" i="4"/>
  <c r="AG73" i="4"/>
  <c r="AE73" i="4" s="1"/>
  <c r="AV1362" i="13" s="1"/>
  <c r="AC73" i="4"/>
  <c r="AD73" i="4"/>
  <c r="X91" i="4"/>
  <c r="CX91" i="4" s="1"/>
  <c r="Y91" i="4"/>
  <c r="AG70" i="4"/>
  <c r="AE70" i="4" s="1"/>
  <c r="AV1359" i="13" s="1"/>
  <c r="AF70" i="4"/>
  <c r="X86" i="4"/>
  <c r="CX86" i="4" s="1"/>
  <c r="Y86" i="4"/>
  <c r="X20" i="4"/>
  <c r="CX20" i="4" s="1"/>
  <c r="AJ20" i="69" s="1"/>
  <c r="Y20" i="4"/>
  <c r="AK30" i="4"/>
  <c r="AL30" i="4"/>
  <c r="AX177" i="13"/>
  <c r="A276" i="13"/>
  <c r="C77" i="1"/>
  <c r="E44" i="4"/>
  <c r="BV10" i="4" a="1"/>
  <c r="BV10" i="4" s="1"/>
  <c r="BW10" i="4" a="1"/>
  <c r="BW10" i="4" s="1"/>
  <c r="BU10" i="4" s="1" a="1"/>
  <c r="BU10" i="4" s="1"/>
  <c r="BW27" i="4" a="1"/>
  <c r="BW27" i="4" s="1"/>
  <c r="BU27" i="4" s="1" a="1"/>
  <c r="BU27" i="4" s="1"/>
  <c r="BV27" i="4" a="1"/>
  <c r="BV27" i="4" s="1"/>
  <c r="AV608" i="13"/>
  <c r="J12" i="69"/>
  <c r="AX107" i="13"/>
  <c r="A206" i="13"/>
  <c r="AX104" i="13"/>
  <c r="A203" i="13"/>
  <c r="Z65" i="69"/>
  <c r="BW43" i="4" a="1"/>
  <c r="BW43" i="4" s="1"/>
  <c r="BU43" i="4" s="1" a="1"/>
  <c r="BU43" i="4" s="1"/>
  <c r="BV43" i="4" a="1"/>
  <c r="BV43" i="4" s="1"/>
  <c r="E36" i="4"/>
  <c r="Z92" i="69"/>
  <c r="E27" i="4"/>
  <c r="AV114" i="13"/>
  <c r="M13" i="69"/>
  <c r="T13" i="69"/>
  <c r="BL13" i="69" s="1"/>
  <c r="BV37" i="4" a="1"/>
  <c r="BV37" i="4" s="1"/>
  <c r="BW37" i="4" a="1"/>
  <c r="BW37" i="4" s="1"/>
  <c r="BU37" i="4" s="1" a="1"/>
  <c r="BU37" i="4" s="1"/>
  <c r="E83" i="4"/>
  <c r="BW49" i="4" a="1"/>
  <c r="BW49" i="4" s="1"/>
  <c r="BU49" i="4" s="1" a="1"/>
  <c r="BU49" i="4" s="1"/>
  <c r="BV49" i="4" a="1"/>
  <c r="BV49" i="4" s="1"/>
  <c r="C21" i="4"/>
  <c r="BS21" i="4" a="1"/>
  <c r="BS21" i="4" s="1"/>
  <c r="AZ21" i="4" a="1"/>
  <c r="AZ21" i="4" s="1"/>
  <c r="BR21" i="4" a="1"/>
  <c r="BR21" i="4" s="1"/>
  <c r="D21" i="4"/>
  <c r="A21" i="20"/>
  <c r="T45" i="69"/>
  <c r="Y42" i="69"/>
  <c r="E332" i="15"/>
  <c r="T48" i="69"/>
  <c r="J43" i="69"/>
  <c r="AU38" i="69"/>
  <c r="E351" i="15"/>
  <c r="Q48" i="69"/>
  <c r="N27" i="69" a="1"/>
  <c r="N27" i="69" s="1"/>
  <c r="AU26" i="69"/>
  <c r="E140" i="15"/>
  <c r="E374" i="15"/>
  <c r="E461" i="15"/>
  <c r="A47" i="69"/>
  <c r="AB23" i="69" a="1"/>
  <c r="AB23" i="69" s="1"/>
  <c r="E384" i="15"/>
  <c r="J37" i="69"/>
  <c r="E165" i="15"/>
  <c r="M34" i="69"/>
  <c r="Y51" i="69"/>
  <c r="AK23" i="69"/>
  <c r="E330" i="15"/>
  <c r="E215" i="15"/>
  <c r="A53" i="69"/>
  <c r="N35" i="69" a="1"/>
  <c r="N35" i="69" s="1"/>
  <c r="V50" i="69"/>
  <c r="J41" i="69"/>
  <c r="E456" i="15"/>
  <c r="M42" i="69"/>
  <c r="N43" i="69" a="1"/>
  <c r="N43" i="69" s="1"/>
  <c r="J53" i="69"/>
  <c r="Q44" i="69"/>
  <c r="AK38" i="69"/>
  <c r="N33" i="69" a="1"/>
  <c r="N33" i="69" s="1"/>
  <c r="AU46" i="69"/>
  <c r="V43" i="69"/>
  <c r="E86" i="15"/>
  <c r="AU30" i="69"/>
  <c r="AK28" i="69"/>
  <c r="E459" i="15"/>
  <c r="J34" i="69"/>
  <c r="W45" i="69"/>
  <c r="M45" i="69"/>
  <c r="AK36" i="69"/>
  <c r="E207" i="15"/>
  <c r="V39" i="69"/>
  <c r="AU23" i="69"/>
  <c r="Q38" i="69"/>
  <c r="W23" i="69"/>
  <c r="AB53" i="69" a="1"/>
  <c r="AB53" i="69" s="1"/>
  <c r="Y27" i="69"/>
  <c r="E396" i="15"/>
  <c r="F396" i="15" s="1" a="1"/>
  <c r="F396" i="15" s="1"/>
  <c r="AU35" i="69"/>
  <c r="AK48" i="69"/>
  <c r="E296" i="15"/>
  <c r="F296" i="15" s="1" a="1"/>
  <c r="F296" i="15" s="1"/>
  <c r="Y47" i="69"/>
  <c r="AU42" i="69"/>
  <c r="Y25" i="69"/>
  <c r="J30" i="69"/>
  <c r="E402" i="15"/>
  <c r="E449" i="15"/>
  <c r="AK24" i="69"/>
  <c r="V46" i="69"/>
  <c r="E425" i="15"/>
  <c r="V33" i="22"/>
  <c r="A42" i="69"/>
  <c r="T23" i="69"/>
  <c r="T31" i="69"/>
  <c r="AK52" i="69"/>
  <c r="Y40" i="69"/>
  <c r="E418" i="15"/>
  <c r="AK46" i="69"/>
  <c r="V47" i="69"/>
  <c r="AB35" i="69" a="1"/>
  <c r="AB35" i="69" s="1"/>
  <c r="E98" i="15"/>
  <c r="N42" i="69" a="1"/>
  <c r="N42" i="69" s="1"/>
  <c r="V28" i="69"/>
  <c r="E54" i="15"/>
  <c r="T37" i="69"/>
  <c r="A43" i="69"/>
  <c r="N39" i="69" a="1"/>
  <c r="N39" i="69" s="1"/>
  <c r="E347" i="15"/>
  <c r="V25" i="69"/>
  <c r="Q46" i="69"/>
  <c r="V49" i="69"/>
  <c r="E417" i="15"/>
  <c r="AU39" i="69"/>
  <c r="AK49" i="69"/>
  <c r="N36" i="69" a="1"/>
  <c r="N36" i="69" s="1"/>
  <c r="M37" i="69"/>
  <c r="Q43" i="69"/>
  <c r="T47" i="69"/>
  <c r="E395" i="15"/>
  <c r="W31" i="22"/>
  <c r="Y31" i="22" s="1"/>
  <c r="A31" i="69"/>
  <c r="E325" i="15"/>
  <c r="W52" i="69"/>
  <c r="E283" i="15"/>
  <c r="E321" i="15"/>
  <c r="Y52" i="69"/>
  <c r="AB40" i="69" a="1"/>
  <c r="AB40" i="69" s="1"/>
  <c r="J52" i="69"/>
  <c r="E158" i="15"/>
  <c r="AK51" i="69"/>
  <c r="Y41" i="69"/>
  <c r="W33" i="22"/>
  <c r="Y33" i="22" s="1"/>
  <c r="AK54" i="69"/>
  <c r="E108" i="15"/>
  <c r="E419" i="15"/>
  <c r="J485" i="15"/>
  <c r="J51" i="69"/>
  <c r="E200" i="15"/>
  <c r="E145" i="15"/>
  <c r="W10" i="22"/>
  <c r="Y10" i="22" s="1"/>
  <c r="N38" i="69" a="1"/>
  <c r="N38" i="69" s="1"/>
  <c r="E52" i="15"/>
  <c r="J49" i="69"/>
  <c r="W26" i="69"/>
  <c r="N32" i="69" a="1"/>
  <c r="N32" i="69" s="1"/>
  <c r="M26" i="69"/>
  <c r="W40" i="69"/>
  <c r="AB38" i="69" a="1"/>
  <c r="AB38" i="69" s="1"/>
  <c r="N54" i="69" a="1"/>
  <c r="N54" i="69" s="1"/>
  <c r="E440" i="15"/>
  <c r="E182" i="15"/>
  <c r="E99" i="15"/>
  <c r="A34" i="69"/>
  <c r="AK33" i="69"/>
  <c r="W35" i="69"/>
  <c r="V22" i="69"/>
  <c r="V42" i="69"/>
  <c r="N29" i="69" a="1"/>
  <c r="N29" i="69" s="1"/>
  <c r="E333" i="15"/>
  <c r="E259" i="15"/>
  <c r="F259" i="15" s="1" a="1"/>
  <c r="F259" i="15" s="1"/>
  <c r="E468" i="15"/>
  <c r="AU31" i="69"/>
  <c r="J29" i="69"/>
  <c r="AU48" i="69"/>
  <c r="E196" i="15"/>
  <c r="E385" i="15"/>
  <c r="E304" i="15"/>
  <c r="N22" i="69" a="1"/>
  <c r="N22" i="69" s="1"/>
  <c r="AU52" i="69"/>
  <c r="Q50" i="69"/>
  <c r="E445" i="15"/>
  <c r="N34" i="69" a="1"/>
  <c r="N34" i="69" s="1"/>
  <c r="E83" i="15"/>
  <c r="E239" i="15"/>
  <c r="W32" i="69"/>
  <c r="E334" i="15"/>
  <c r="V23" i="69"/>
  <c r="Y50" i="69"/>
  <c r="V10" i="22"/>
  <c r="M52" i="69"/>
  <c r="E216" i="15"/>
  <c r="E398" i="15"/>
  <c r="F398" i="15" s="1" a="1"/>
  <c r="F398" i="15" s="1"/>
  <c r="Q28" i="69"/>
  <c r="E450" i="15"/>
  <c r="AB22" i="69" a="1"/>
  <c r="AB22" i="69" s="1"/>
  <c r="AB30" i="69" a="1"/>
  <c r="AB30" i="69" s="1"/>
  <c r="E473" i="15"/>
  <c r="W27" i="69"/>
  <c r="M38" i="69"/>
  <c r="E138" i="15"/>
  <c r="AU51" i="69"/>
  <c r="AB49" i="69" a="1"/>
  <c r="AB49" i="69" s="1"/>
  <c r="Y26" i="69"/>
  <c r="N49" i="69" a="1"/>
  <c r="N49" i="69" s="1"/>
  <c r="A44" i="69"/>
  <c r="AU36" i="69"/>
  <c r="E154" i="15"/>
  <c r="E252" i="15"/>
  <c r="AB25" i="69" a="1"/>
  <c r="AB25" i="69" s="1"/>
  <c r="M24" i="69"/>
  <c r="Y28" i="69"/>
  <c r="V37" i="69"/>
  <c r="AK41" i="69"/>
  <c r="W53" i="69"/>
  <c r="V34" i="69"/>
  <c r="E55" i="15"/>
  <c r="Q24" i="69"/>
  <c r="A37" i="69"/>
  <c r="E230" i="15"/>
  <c r="AB54" i="69" a="1"/>
  <c r="AB54" i="69" s="1"/>
  <c r="M27" i="69"/>
  <c r="E375" i="15"/>
  <c r="M53" i="69"/>
  <c r="E485" i="15"/>
  <c r="E141" i="15"/>
  <c r="F141" i="15" s="1" a="1"/>
  <c r="F141" i="15" s="1"/>
  <c r="J36" i="69"/>
  <c r="A24" i="69"/>
  <c r="AK50" i="69"/>
  <c r="W36" i="69"/>
  <c r="E365" i="15"/>
  <c r="V35" i="22"/>
  <c r="E278" i="15"/>
  <c r="E168" i="15"/>
  <c r="A49" i="69"/>
  <c r="AU27" i="69"/>
  <c r="N25" i="69" a="1"/>
  <c r="N25" i="69" s="1"/>
  <c r="AK27" i="69"/>
  <c r="AB47" i="69" a="1"/>
  <c r="AB47" i="69" s="1"/>
  <c r="AB51" i="69" a="1"/>
  <c r="AB51" i="69" s="1"/>
  <c r="V33" i="69"/>
  <c r="N48" i="69" a="1"/>
  <c r="N48" i="69" s="1"/>
  <c r="E261" i="15"/>
  <c r="AU25" i="69"/>
  <c r="W48" i="69"/>
  <c r="AB24" i="69" a="1"/>
  <c r="AB24" i="69" s="1"/>
  <c r="E479" i="15"/>
  <c r="W50" i="69"/>
  <c r="W42" i="69"/>
  <c r="E177" i="15"/>
  <c r="E201" i="15"/>
  <c r="J22" i="69"/>
  <c r="T29" i="69"/>
  <c r="V11" i="22"/>
  <c r="V31" i="22"/>
  <c r="E178" i="15"/>
  <c r="N51" i="69" a="1"/>
  <c r="N51" i="69" s="1"/>
  <c r="E127" i="15"/>
  <c r="W43" i="69"/>
  <c r="Y21" i="69"/>
  <c r="E383" i="15"/>
  <c r="N24" i="69" a="1"/>
  <c r="N24" i="69" s="1"/>
  <c r="A21" i="69"/>
  <c r="T54" i="69"/>
  <c r="E267" i="15"/>
  <c r="Y49" i="69"/>
  <c r="A27" i="69"/>
  <c r="E355" i="15"/>
  <c r="F355" i="15" s="1" a="1"/>
  <c r="F355" i="15" s="1"/>
  <c r="E462" i="15"/>
  <c r="E84" i="15"/>
  <c r="AK25" i="69"/>
  <c r="W62" i="22"/>
  <c r="Y62" i="22" s="1"/>
  <c r="A52" i="69"/>
  <c r="M21" i="69"/>
  <c r="E319" i="15"/>
  <c r="T44" i="69"/>
  <c r="T26" i="69"/>
  <c r="E245" i="15"/>
  <c r="M51" i="69"/>
  <c r="T42" i="69"/>
  <c r="Y54" i="69"/>
  <c r="J54" i="69"/>
  <c r="A35" i="69"/>
  <c r="Y34" i="69"/>
  <c r="Y24" i="69"/>
  <c r="E101" i="15"/>
  <c r="Y31" i="69"/>
  <c r="E409" i="15"/>
  <c r="V36" i="69"/>
  <c r="AB27" i="69" a="1"/>
  <c r="AB27" i="69" s="1"/>
  <c r="AB45" i="69" a="1"/>
  <c r="AB45" i="69" s="1"/>
  <c r="AU32" i="69"/>
  <c r="W38" i="69"/>
  <c r="T22" i="69"/>
  <c r="M39" i="69"/>
  <c r="AU37" i="69"/>
  <c r="T35" i="69"/>
  <c r="AB36" i="69" a="1"/>
  <c r="AB36" i="69" s="1"/>
  <c r="M48" i="69"/>
  <c r="Y29" i="69"/>
  <c r="AU47" i="69"/>
  <c r="W53" i="22"/>
  <c r="Y53" i="22" s="1"/>
  <c r="E339" i="15"/>
  <c r="Q34" i="69"/>
  <c r="E457" i="15"/>
  <c r="W12" i="22"/>
  <c r="Y12" i="22" s="1"/>
  <c r="J47" i="69"/>
  <c r="E95" i="15"/>
  <c r="E390" i="15"/>
  <c r="W32" i="22"/>
  <c r="Y32" i="22" s="1"/>
  <c r="V58" i="22"/>
  <c r="A23" i="69"/>
  <c r="M23" i="69"/>
  <c r="E338" i="15"/>
  <c r="W65" i="22"/>
  <c r="Y65" i="22" s="1"/>
  <c r="V31" i="69"/>
  <c r="E202" i="15"/>
  <c r="E348" i="15"/>
  <c r="M49" i="69"/>
  <c r="W44" i="22"/>
  <c r="Y44" i="22" s="1"/>
  <c r="E53" i="15"/>
  <c r="J26" i="69"/>
  <c r="N31" i="69" a="1"/>
  <c r="N31" i="69" s="1"/>
  <c r="J50" i="69"/>
  <c r="N23" i="69" a="1"/>
  <c r="N23" i="69" s="1"/>
  <c r="AB28" i="69" a="1"/>
  <c r="AB28" i="69" s="1"/>
  <c r="E285" i="15"/>
  <c r="AK44" i="69"/>
  <c r="N53" i="69" a="1"/>
  <c r="N53" i="69" s="1"/>
  <c r="Y35" i="69"/>
  <c r="W21" i="69"/>
  <c r="V53" i="69"/>
  <c r="E237" i="15"/>
  <c r="T43" i="69"/>
  <c r="N41" i="69" a="1"/>
  <c r="N41" i="69" s="1"/>
  <c r="V65" i="22"/>
  <c r="V48" i="69"/>
  <c r="AB52" i="69" a="1"/>
  <c r="AB52" i="69" s="1"/>
  <c r="AK43" i="69"/>
  <c r="E346" i="15"/>
  <c r="J27" i="69"/>
  <c r="V9" i="22"/>
  <c r="E373" i="15"/>
  <c r="F370" i="15" s="1" a="1"/>
  <c r="F370" i="15" s="1"/>
  <c r="T27" i="69"/>
  <c r="Q41" i="69"/>
  <c r="E211" i="15"/>
  <c r="Y53" i="69"/>
  <c r="E314" i="15"/>
  <c r="Q52" i="69"/>
  <c r="AU50" i="69"/>
  <c r="J21" i="69"/>
  <c r="A22" i="69"/>
  <c r="E311" i="15"/>
  <c r="AU22" i="69"/>
  <c r="E249" i="15"/>
  <c r="A40" i="69"/>
  <c r="E297" i="15"/>
  <c r="T28" i="69"/>
  <c r="E474" i="15"/>
  <c r="Y48" i="69"/>
  <c r="E361" i="15"/>
  <c r="F361" i="15" s="1" a="1"/>
  <c r="F361" i="15" s="1"/>
  <c r="N50" i="69" a="1"/>
  <c r="N50" i="69" s="1"/>
  <c r="Q54" i="69"/>
  <c r="AU28" i="69"/>
  <c r="E135" i="15"/>
  <c r="E407" i="15"/>
  <c r="A25" i="69"/>
  <c r="Q45" i="69"/>
  <c r="E187" i="15"/>
  <c r="E109" i="15"/>
  <c r="N52" i="69" a="1"/>
  <c r="N52" i="69" s="1"/>
  <c r="E424" i="15"/>
  <c r="M43" i="69"/>
  <c r="AU41" i="69"/>
  <c r="A29" i="69"/>
  <c r="AK45" i="69"/>
  <c r="E172" i="15"/>
  <c r="V51" i="22"/>
  <c r="E70" i="15"/>
  <c r="F70" i="15" s="1" a="1"/>
  <c r="F70" i="15" s="1"/>
  <c r="J28" i="69"/>
  <c r="M31" i="69"/>
  <c r="V35" i="69"/>
  <c r="J48" i="69"/>
  <c r="Q32" i="69"/>
  <c r="V29" i="69"/>
  <c r="AU24" i="69"/>
  <c r="J479" i="15"/>
  <c r="E335" i="15"/>
  <c r="A33" i="69"/>
  <c r="Y46" i="69"/>
  <c r="E229" i="15"/>
  <c r="E442" i="15"/>
  <c r="F442" i="15" s="1" a="1"/>
  <c r="F442" i="15" s="1"/>
  <c r="A39" i="69"/>
  <c r="Q29" i="69"/>
  <c r="E397" i="15"/>
  <c r="F397" i="15" s="1" a="1"/>
  <c r="F397" i="15" s="1"/>
  <c r="E242" i="15"/>
  <c r="E354" i="15"/>
  <c r="A46" i="69"/>
  <c r="E469" i="15"/>
  <c r="Q47" i="69"/>
  <c r="W9" i="22"/>
  <c r="Y9" i="22" s="1"/>
  <c r="Y38" i="69"/>
  <c r="W47" i="69"/>
  <c r="T34" i="69"/>
  <c r="E67" i="15"/>
  <c r="E48" i="15"/>
  <c r="M44" i="69"/>
  <c r="V26" i="69"/>
  <c r="J23" i="69"/>
  <c r="AK39" i="69"/>
  <c r="E246" i="15"/>
  <c r="Q37" i="69"/>
  <c r="A45" i="69"/>
  <c r="AB33" i="69" a="1"/>
  <c r="AB33" i="69" s="1"/>
  <c r="E305" i="15"/>
  <c r="AB41" i="69" a="1"/>
  <c r="AB41" i="69" s="1"/>
  <c r="W58" i="22"/>
  <c r="Y58" i="22" s="1"/>
  <c r="N45" i="69" a="1"/>
  <c r="N45" i="69" s="1"/>
  <c r="E443" i="15"/>
  <c r="F443" i="15" s="1" a="1"/>
  <c r="F443" i="15" s="1"/>
  <c r="AK29" i="69"/>
  <c r="N30" i="69" a="1"/>
  <c r="N30" i="69" s="1"/>
  <c r="W11" i="22"/>
  <c r="Y11" i="22" s="1"/>
  <c r="AB32" i="69" a="1"/>
  <c r="AB32" i="69" s="1"/>
  <c r="Q42" i="69"/>
  <c r="E203" i="15"/>
  <c r="N21" i="69" a="1"/>
  <c r="N21" i="69" s="1"/>
  <c r="E287" i="15"/>
  <c r="AB39" i="69" a="1"/>
  <c r="AB39" i="69" s="1"/>
  <c r="E96" i="15"/>
  <c r="N37" i="69" a="1"/>
  <c r="N37" i="69" s="1"/>
  <c r="E337" i="15"/>
  <c r="F337" i="15" s="1" a="1"/>
  <c r="F337" i="15" s="1"/>
  <c r="J24" i="69"/>
  <c r="E184" i="15"/>
  <c r="E313" i="15"/>
  <c r="J45" i="69"/>
  <c r="AU44" i="69"/>
  <c r="AK34" i="69"/>
  <c r="W28" i="69"/>
  <c r="E353" i="15"/>
  <c r="W37" i="69"/>
  <c r="E219" i="15"/>
  <c r="A51" i="69"/>
  <c r="AB31" i="69" a="1"/>
  <c r="AB31" i="69" s="1"/>
  <c r="M47" i="69"/>
  <c r="E312" i="15"/>
  <c r="E151" i="15"/>
  <c r="M35" i="69"/>
  <c r="A54" i="69"/>
  <c r="E438" i="15"/>
  <c r="W34" i="69"/>
  <c r="W30" i="69"/>
  <c r="W49" i="69"/>
  <c r="J38" i="69"/>
  <c r="E63" i="15"/>
  <c r="E50" i="15"/>
  <c r="E123" i="15"/>
  <c r="V45" i="69"/>
  <c r="E125" i="15"/>
  <c r="AK42" i="69"/>
  <c r="E320" i="15"/>
  <c r="Q26" i="69"/>
  <c r="M29" i="69"/>
  <c r="J42" i="69"/>
  <c r="E458" i="15"/>
  <c r="V44" i="22"/>
  <c r="E243" i="15"/>
  <c r="AB26" i="69" a="1"/>
  <c r="AB26" i="69" s="1"/>
  <c r="N26" i="69" a="1"/>
  <c r="N26" i="69" s="1"/>
  <c r="AK21" i="69"/>
  <c r="AK26" i="69"/>
  <c r="V62" i="22"/>
  <c r="V54" i="69"/>
  <c r="W44" i="69"/>
  <c r="E217" i="15"/>
  <c r="Y44" i="69"/>
  <c r="E460" i="15"/>
  <c r="V52" i="69"/>
  <c r="AB48" i="69" a="1"/>
  <c r="AB48" i="69" s="1"/>
  <c r="AU45" i="69"/>
  <c r="E176" i="15"/>
  <c r="W33" i="69"/>
  <c r="W46" i="69"/>
  <c r="E139" i="15"/>
  <c r="AK32" i="69"/>
  <c r="E206" i="15"/>
  <c r="E122" i="15"/>
  <c r="E472" i="15"/>
  <c r="F472" i="15" s="1" a="1"/>
  <c r="F472" i="15" s="1"/>
  <c r="V32" i="22"/>
  <c r="E410" i="15"/>
  <c r="E260" i="15"/>
  <c r="AB34" i="69" a="1"/>
  <c r="AB34" i="69" s="1"/>
  <c r="V51" i="69"/>
  <c r="AB43" i="69" a="1"/>
  <c r="AB43" i="69" s="1"/>
  <c r="AK31" i="69"/>
  <c r="T53" i="69"/>
  <c r="Q25" i="69"/>
  <c r="E157" i="15"/>
  <c r="E238" i="15"/>
  <c r="E188" i="15"/>
  <c r="T33" i="69"/>
  <c r="A26" i="69"/>
  <c r="Y32" i="69"/>
  <c r="AK37" i="69"/>
  <c r="AK47" i="69"/>
  <c r="E352" i="15"/>
  <c r="V67" i="22"/>
  <c r="AB44" i="69" a="1"/>
  <c r="AB44" i="69" s="1"/>
  <c r="E45" i="15"/>
  <c r="Q22" i="69"/>
  <c r="N40" i="69" a="1"/>
  <c r="N40" i="69" s="1"/>
  <c r="E253" i="15"/>
  <c r="Q49" i="69"/>
  <c r="V30" i="69"/>
  <c r="Y37" i="69"/>
  <c r="E465" i="15"/>
  <c r="E444" i="15"/>
  <c r="J33" i="69"/>
  <c r="W22" i="69"/>
  <c r="Y36" i="69"/>
  <c r="E46" i="15"/>
  <c r="E220" i="15"/>
  <c r="E467" i="15"/>
  <c r="AK40" i="69"/>
  <c r="V46" i="22"/>
  <c r="Q21" i="69"/>
  <c r="E272" i="15"/>
  <c r="E262" i="15"/>
  <c r="V12" i="22"/>
  <c r="N47" i="69" a="1"/>
  <c r="N47" i="69" s="1"/>
  <c r="E382" i="15"/>
  <c r="Y22" i="69"/>
  <c r="E258" i="15"/>
  <c r="F258" i="15" s="1" a="1"/>
  <c r="F258" i="15" s="1"/>
  <c r="V21" i="69"/>
  <c r="J31" i="69"/>
  <c r="T38" i="69"/>
  <c r="W24" i="69"/>
  <c r="E179" i="15"/>
  <c r="AK30" i="69"/>
  <c r="V27" i="69"/>
  <c r="J39" i="69"/>
  <c r="Q30" i="69"/>
  <c r="V41" i="69"/>
  <c r="A32" i="69"/>
  <c r="AU29" i="69"/>
  <c r="T36" i="69"/>
  <c r="M36" i="69"/>
  <c r="V38" i="69"/>
  <c r="W51" i="22"/>
  <c r="Y51" i="22" s="1"/>
  <c r="W51" i="69"/>
  <c r="T49" i="69"/>
  <c r="Y45" i="69"/>
  <c r="M54" i="69"/>
  <c r="E66" i="15"/>
  <c r="M32" i="69"/>
  <c r="A50" i="69"/>
  <c r="T24" i="69"/>
  <c r="E118" i="15"/>
  <c r="T30" i="69"/>
  <c r="AU33" i="69"/>
  <c r="J44" i="69"/>
  <c r="M28" i="69"/>
  <c r="AK35" i="69"/>
  <c r="Q31" i="69"/>
  <c r="J40" i="69"/>
  <c r="E429" i="15"/>
  <c r="W41" i="69"/>
  <c r="AK22" i="69"/>
  <c r="E194" i="15"/>
  <c r="Y43" i="69"/>
  <c r="AU34" i="69"/>
  <c r="A36" i="69"/>
  <c r="V32" i="69"/>
  <c r="W25" i="69"/>
  <c r="E213" i="15"/>
  <c r="Y33" i="69"/>
  <c r="E218" i="15"/>
  <c r="E435" i="15"/>
  <c r="V53" i="22"/>
  <c r="E298" i="15"/>
  <c r="E386" i="15"/>
  <c r="W29" i="69"/>
  <c r="AB50" i="69" a="1"/>
  <c r="AB50" i="69" s="1"/>
  <c r="E209" i="15"/>
  <c r="F209" i="15" s="1" a="1"/>
  <c r="F209" i="15" s="1"/>
  <c r="E466" i="15"/>
  <c r="E286" i="15"/>
  <c r="W67" i="22"/>
  <c r="Y67" i="22" s="1"/>
  <c r="J32" i="69"/>
  <c r="M40" i="69"/>
  <c r="AK53" i="69"/>
  <c r="Y30" i="69"/>
  <c r="A28" i="69"/>
  <c r="AB46" i="69" a="1"/>
  <c r="AB46" i="69" s="1"/>
  <c r="T39" i="69"/>
  <c r="AU54" i="69"/>
  <c r="E411" i="15"/>
  <c r="E405" i="15"/>
  <c r="F405" i="15" s="1" a="1"/>
  <c r="F405" i="15" s="1"/>
  <c r="W35" i="22"/>
  <c r="Y35" i="22" s="1"/>
  <c r="AU49" i="69"/>
  <c r="Q23" i="69"/>
  <c r="V44" i="69"/>
  <c r="A41" i="69"/>
  <c r="E363" i="15"/>
  <c r="T32" i="69"/>
  <c r="T21" i="69"/>
  <c r="E119" i="15"/>
  <c r="E277" i="15"/>
  <c r="AB21" i="69" a="1"/>
  <c r="AB21" i="69" s="1"/>
  <c r="V40" i="69"/>
  <c r="N28" i="69" a="1"/>
  <c r="N28" i="69" s="1"/>
  <c r="E317" i="15"/>
  <c r="E399" i="15"/>
  <c r="F399" i="15" s="1" a="1"/>
  <c r="F399" i="15" s="1"/>
  <c r="E292" i="15"/>
  <c r="T52" i="69"/>
  <c r="Y23" i="69"/>
  <c r="M30" i="69"/>
  <c r="J25" i="69"/>
  <c r="E394" i="15"/>
  <c r="W46" i="22"/>
  <c r="Y46" i="22" s="1"/>
  <c r="N46" i="69" a="1"/>
  <c r="N46" i="69" s="1"/>
  <c r="E102" i="15"/>
  <c r="Q35" i="69"/>
  <c r="Q51" i="69"/>
  <c r="AU53" i="69"/>
  <c r="AB37" i="69" a="1"/>
  <c r="AB37" i="69" s="1"/>
  <c r="E306" i="15"/>
  <c r="E392" i="15"/>
  <c r="M22" i="69"/>
  <c r="N44" i="69" a="1"/>
  <c r="N44" i="69" s="1"/>
  <c r="M33" i="69"/>
  <c r="T51" i="69"/>
  <c r="W39" i="69"/>
  <c r="E231" i="15"/>
  <c r="E100" i="15"/>
  <c r="V24" i="69"/>
  <c r="A30" i="69"/>
  <c r="A38" i="69"/>
  <c r="E120" i="15"/>
  <c r="W31" i="69"/>
  <c r="E310" i="15"/>
  <c r="AB29" i="69" a="1"/>
  <c r="AB29" i="69" s="1"/>
  <c r="Q36" i="69"/>
  <c r="Q33" i="69"/>
  <c r="J35" i="69"/>
  <c r="Q40" i="69"/>
  <c r="E455" i="15"/>
  <c r="AU40" i="69"/>
  <c r="Q27" i="69"/>
  <c r="Q53" i="69"/>
  <c r="A48" i="69"/>
  <c r="Q39" i="69"/>
  <c r="E126" i="15"/>
  <c r="J46" i="69"/>
  <c r="W54" i="69"/>
  <c r="Y39" i="69"/>
  <c r="E276" i="15"/>
  <c r="E426" i="15"/>
  <c r="E193" i="15"/>
  <c r="E116" i="15"/>
  <c r="AB42" i="69" a="1"/>
  <c r="AB42" i="69" s="1"/>
  <c r="AU43" i="69"/>
  <c r="E257" i="15"/>
  <c r="F257" i="15" s="1" a="1"/>
  <c r="F257" i="15" s="1"/>
  <c r="E294" i="15"/>
  <c r="E322" i="15"/>
  <c r="E454" i="15"/>
  <c r="E92" i="4"/>
  <c r="BV22" i="4" a="1"/>
  <c r="BV22" i="4" s="1"/>
  <c r="BW22" i="4" a="1"/>
  <c r="BW22" i="4" s="1"/>
  <c r="BU22" i="4" s="1" a="1"/>
  <c r="BU22" i="4" s="1"/>
  <c r="BW64" i="4" a="1"/>
  <c r="BW64" i="4" s="1"/>
  <c r="BU64" i="4" s="1" a="1"/>
  <c r="BU64" i="4" s="1"/>
  <c r="BV64" i="4" a="1"/>
  <c r="BV64" i="4" s="1"/>
  <c r="C93" i="1"/>
  <c r="BW9" i="4" a="1"/>
  <c r="BW9" i="4" s="1"/>
  <c r="BU9" i="4" s="1" a="1"/>
  <c r="BU9" i="4" s="1"/>
  <c r="BV9" i="4" a="1"/>
  <c r="BV9" i="4" s="1"/>
  <c r="AX165" i="13"/>
  <c r="A264" i="13"/>
  <c r="E41" i="4"/>
  <c r="BA41" i="4" s="1"/>
  <c r="E23" i="4"/>
  <c r="A265" i="13"/>
  <c r="AX166" i="13"/>
  <c r="E48" i="4"/>
  <c r="BA48" i="4" s="1"/>
  <c r="T50" i="69"/>
  <c r="B4" i="69"/>
  <c r="E175" i="15"/>
  <c r="H55" i="4"/>
  <c r="W67" i="69" s="1"/>
  <c r="A57" i="13"/>
  <c r="Z89" i="69"/>
  <c r="C61" i="1"/>
  <c r="Z58" i="69"/>
  <c r="C65" i="1"/>
  <c r="Z91" i="69"/>
  <c r="C86" i="1"/>
  <c r="Z94" i="69"/>
  <c r="J6" i="27"/>
  <c r="Z61" i="69"/>
  <c r="Z86" i="69"/>
  <c r="C82" i="1"/>
  <c r="C75" i="1"/>
  <c r="C69" i="1"/>
  <c r="C71" i="1"/>
  <c r="C85" i="1"/>
  <c r="C58" i="1"/>
  <c r="Z80" i="69"/>
  <c r="Z67" i="69"/>
  <c r="C76" i="1"/>
  <c r="Z87" i="69"/>
  <c r="C88" i="1"/>
  <c r="Z84" i="69"/>
  <c r="Z85" i="69"/>
  <c r="B6" i="27"/>
  <c r="Z64" i="69"/>
  <c r="Z95" i="69"/>
  <c r="C74" i="1"/>
  <c r="C70" i="1"/>
  <c r="C79" i="1"/>
  <c r="Z71" i="69"/>
  <c r="C90" i="1"/>
  <c r="Z66" i="69"/>
  <c r="J5" i="27"/>
  <c r="C83" i="1"/>
  <c r="C92" i="1"/>
  <c r="Z76" i="69"/>
  <c r="Z55" i="69"/>
  <c r="C66" i="1"/>
  <c r="I12" i="27"/>
  <c r="C63" i="1"/>
  <c r="Z93" i="69"/>
  <c r="Z83" i="69"/>
  <c r="C91" i="1"/>
  <c r="C56" i="1"/>
  <c r="Z69" i="69"/>
  <c r="C59" i="1"/>
  <c r="Z74" i="69"/>
  <c r="Z88" i="69"/>
  <c r="Z73" i="69"/>
  <c r="Z78" i="69"/>
  <c r="Z63" i="69"/>
  <c r="C89" i="1"/>
  <c r="Z72" i="69"/>
  <c r="E93" i="4"/>
  <c r="E74" i="15"/>
  <c r="E273" i="15"/>
  <c r="E199" i="15"/>
  <c r="E155" i="15"/>
  <c r="E388" i="15"/>
  <c r="E51" i="15"/>
  <c r="E106" i="15"/>
  <c r="AX137" i="13"/>
  <c r="A236" i="13"/>
  <c r="E49" i="4"/>
  <c r="BA49" i="4" s="1"/>
  <c r="A122" i="13"/>
  <c r="AX23" i="13"/>
  <c r="E64" i="4"/>
  <c r="C60" i="1"/>
  <c r="E93" i="15"/>
  <c r="E302" i="15"/>
  <c r="E186" i="15"/>
  <c r="BW41" i="4" a="1"/>
  <c r="BW41" i="4" s="1"/>
  <c r="BU41" i="4" s="1" a="1"/>
  <c r="BU41" i="4" s="1"/>
  <c r="BV41" i="4" a="1"/>
  <c r="BV41" i="4" s="1"/>
  <c r="BW23" i="4" a="1"/>
  <c r="BW23" i="4" s="1"/>
  <c r="BU23" i="4" s="1" a="1"/>
  <c r="BU23" i="4" s="1"/>
  <c r="BV23" i="4" a="1"/>
  <c r="BV23" i="4" s="1"/>
  <c r="Z57" i="69"/>
  <c r="AX147" i="13"/>
  <c r="A246" i="13"/>
  <c r="J18" i="69"/>
  <c r="J13" i="69"/>
  <c r="E10" i="4"/>
  <c r="BW36" i="4" a="1"/>
  <c r="BW36" i="4" s="1"/>
  <c r="BU36" i="4" s="1" a="1"/>
  <c r="BU36" i="4" s="1"/>
  <c r="BV36" i="4" a="1"/>
  <c r="BV36" i="4" s="1"/>
  <c r="A229" i="13"/>
  <c r="AX130" i="13"/>
  <c r="E43" i="4"/>
  <c r="AV615" i="13"/>
  <c r="J19" i="69"/>
  <c r="E79" i="4"/>
  <c r="BA79" i="4" s="1"/>
  <c r="A270" i="13"/>
  <c r="AX171" i="13"/>
  <c r="BV93" i="4" a="1"/>
  <c r="BV93" i="4" s="1"/>
  <c r="BW93" i="4" a="1"/>
  <c r="BW93" i="4" s="1"/>
  <c r="BU93" i="4" s="1" a="1"/>
  <c r="BU93" i="4" s="1"/>
  <c r="AX180" i="13"/>
  <c r="A279" i="13"/>
  <c r="Z68" i="69"/>
  <c r="E87" i="4"/>
  <c r="BA87" i="4" s="1"/>
  <c r="Z79" i="69"/>
  <c r="AV116" i="13"/>
  <c r="T15" i="69"/>
  <c r="BE15" i="69" s="1" a="1"/>
  <c r="BE15" i="69" s="1"/>
  <c r="M15" i="69"/>
  <c r="BW14" i="4" a="1"/>
  <c r="BW14" i="4" s="1"/>
  <c r="BU14" i="4" s="1" a="1"/>
  <c r="BU14" i="4" s="1"/>
  <c r="BV14" i="4" a="1"/>
  <c r="BV14" i="4" s="1"/>
  <c r="AX110" i="13"/>
  <c r="A209" i="13"/>
  <c r="Z60" i="69"/>
  <c r="E65" i="4"/>
  <c r="BA65" i="4" s="1"/>
  <c r="A253" i="13"/>
  <c r="AX154" i="13"/>
  <c r="T25" i="69"/>
  <c r="E404" i="15"/>
  <c r="E309" i="15"/>
  <c r="BA37" i="4"/>
  <c r="E22" i="4"/>
  <c r="BA22" i="4" s="1"/>
  <c r="E56" i="4"/>
  <c r="BA56" i="4" s="1"/>
  <c r="E76" i="4"/>
  <c r="C55" i="1"/>
  <c r="A243" i="13"/>
  <c r="AX144" i="13"/>
  <c r="BV87" i="4" a="1"/>
  <c r="BV87" i="4" s="1"/>
  <c r="BW87" i="4" a="1"/>
  <c r="BW87" i="4" s="1"/>
  <c r="BU87" i="4" s="1" a="1"/>
  <c r="BU87" i="4" s="1"/>
  <c r="CS54" i="4"/>
  <c r="CT54" i="4" s="1"/>
  <c r="BW92" i="4" a="1"/>
  <c r="BW92" i="4" s="1"/>
  <c r="BU92" i="4" s="1" a="1"/>
  <c r="BU92" i="4" s="1"/>
  <c r="BV92" i="4" a="1"/>
  <c r="BV92" i="4" s="1"/>
  <c r="E81" i="4"/>
  <c r="BA81" i="4" s="1"/>
  <c r="Z75" i="69"/>
  <c r="BV59" i="4" a="1"/>
  <c r="BV59" i="4" s="1"/>
  <c r="BW59" i="4" a="1"/>
  <c r="BW59" i="4" s="1"/>
  <c r="BU59" i="4" s="1" a="1"/>
  <c r="BU59" i="4" s="1"/>
  <c r="BV42" i="4" a="1"/>
  <c r="BV42" i="4" s="1"/>
  <c r="BW42" i="4" a="1"/>
  <c r="BW42" i="4" s="1"/>
  <c r="BU42" i="4" s="1" a="1"/>
  <c r="BU42" i="4" s="1"/>
  <c r="A235" i="13"/>
  <c r="AX136" i="13"/>
  <c r="BV75" i="4" a="1"/>
  <c r="BV75" i="4" s="1"/>
  <c r="BW75" i="4" a="1"/>
  <c r="BW75" i="4" s="1"/>
  <c r="BU75" i="4" s="1" a="1"/>
  <c r="BU75" i="4" s="1"/>
  <c r="Z77" i="69"/>
  <c r="AV109" i="13"/>
  <c r="E4" i="4"/>
  <c r="BE4" i="4" s="1"/>
  <c r="E406" i="15"/>
  <c r="E369" i="15"/>
  <c r="F369" i="15" s="1" a="1"/>
  <c r="F369" i="15" s="1"/>
  <c r="M25" i="69"/>
  <c r="E183" i="15"/>
  <c r="AV107" i="13"/>
  <c r="M6" i="69"/>
  <c r="T6" i="69"/>
  <c r="BE6" i="69" s="1" a="1"/>
  <c r="BE6" i="69" s="1"/>
  <c r="E31" i="4"/>
  <c r="BV45" i="4" a="1"/>
  <c r="BV45" i="4" s="1"/>
  <c r="BW45" i="4" a="1"/>
  <c r="BW45" i="4" s="1"/>
  <c r="BU45" i="4" s="1" a="1"/>
  <c r="BU45" i="4" s="1"/>
  <c r="AX492" i="13"/>
  <c r="A591" i="13"/>
  <c r="BA72" i="4"/>
  <c r="E75" i="4"/>
  <c r="BA75" i="4" s="1"/>
  <c r="C84" i="1"/>
  <c r="E453" i="15"/>
  <c r="E44" i="15"/>
  <c r="E439" i="15"/>
  <c r="F439" i="15" s="1" a="1"/>
  <c r="F439" i="15" s="1"/>
  <c r="E378" i="15"/>
  <c r="E452" i="15"/>
  <c r="E247" i="15"/>
  <c r="E481" i="15"/>
  <c r="F481" i="15" s="1" a="1"/>
  <c r="F481" i="15" s="1"/>
  <c r="E478" i="15"/>
  <c r="E422" i="15"/>
  <c r="F422" i="15" s="1" a="1"/>
  <c r="F422" i="15" s="1"/>
  <c r="E121" i="15"/>
  <c r="E181" i="15"/>
  <c r="E167" i="15"/>
  <c r="E414" i="15"/>
  <c r="E415" i="15"/>
  <c r="E228" i="15"/>
  <c r="E241" i="15"/>
  <c r="F241" i="15" s="1" a="1"/>
  <c r="F241" i="15" s="1"/>
  <c r="E148" i="15"/>
  <c r="E270" i="15"/>
  <c r="E210" i="15"/>
  <c r="BV65" i="4" a="1"/>
  <c r="BV65" i="4" s="1"/>
  <c r="BW65" i="4" a="1"/>
  <c r="BW65" i="4" s="1"/>
  <c r="BU65" i="4" s="1" a="1"/>
  <c r="BU65" i="4" s="1"/>
  <c r="A242" i="13"/>
  <c r="AX143" i="13"/>
  <c r="AV105" i="13"/>
  <c r="T4" i="69"/>
  <c r="BK4" i="69" s="1"/>
  <c r="M50" i="69"/>
  <c r="E232" i="15"/>
  <c r="E45" i="4"/>
  <c r="BA45" i="4" s="1"/>
  <c r="E84" i="4"/>
  <c r="BA84" i="4" s="1"/>
  <c r="C81" i="1"/>
  <c r="C94" i="1"/>
  <c r="E14" i="4"/>
  <c r="BA14" i="4" s="1"/>
  <c r="Z70" i="69"/>
  <c r="E6" i="4"/>
  <c r="E32" i="4"/>
  <c r="BA32" i="4" s="1"/>
  <c r="BW56" i="4" a="1"/>
  <c r="BW56" i="4" s="1"/>
  <c r="BU56" i="4" s="1" a="1"/>
  <c r="BU56" i="4" s="1"/>
  <c r="BV56" i="4" a="1"/>
  <c r="BV56" i="4" s="1"/>
  <c r="AP60" i="4"/>
  <c r="AV656" i="13" s="1"/>
  <c r="AU60" i="4"/>
  <c r="AU96" i="4" s="1"/>
  <c r="CU60" i="4"/>
  <c r="CV60" i="4" s="1"/>
  <c r="AX146" i="13"/>
  <c r="A245" i="13"/>
  <c r="BV84" i="4" a="1"/>
  <c r="BV84" i="4" s="1"/>
  <c r="BW84" i="4" a="1"/>
  <c r="BW84" i="4" s="1"/>
  <c r="BU84" i="4" s="1" a="1"/>
  <c r="BU84" i="4" s="1"/>
  <c r="Z62" i="69"/>
  <c r="CS90" i="4"/>
  <c r="CT90" i="4" s="1"/>
  <c r="BV50" i="4" a="1"/>
  <c r="BV50" i="4" s="1"/>
  <c r="BW50" i="4" a="1"/>
  <c r="BW50" i="4" s="1"/>
  <c r="BU50" i="4" s="1" a="1"/>
  <c r="BU50" i="4" s="1"/>
  <c r="A250" i="13"/>
  <c r="AX151" i="13"/>
  <c r="C62" i="1"/>
  <c r="CS87" i="4"/>
  <c r="CT87" i="4" s="1"/>
  <c r="AV600" i="13"/>
  <c r="J4" i="69"/>
  <c r="AV603" i="13"/>
  <c r="J7" i="69"/>
  <c r="AV606" i="13"/>
  <c r="J10" i="69"/>
  <c r="B46" i="14"/>
  <c r="C73" i="1"/>
  <c r="E61" i="4"/>
  <c r="BA50" i="4"/>
  <c r="AV601" i="13"/>
  <c r="J5" i="69"/>
  <c r="E408" i="15"/>
  <c r="E174" i="15"/>
  <c r="E300" i="15"/>
  <c r="E477" i="15"/>
  <c r="E251" i="15"/>
  <c r="E223" i="15"/>
  <c r="E336" i="15"/>
  <c r="E441" i="15"/>
  <c r="F441" i="15" s="1" a="1"/>
  <c r="F441" i="15" s="1"/>
  <c r="E248" i="15"/>
  <c r="E103" i="15"/>
  <c r="E291" i="15"/>
  <c r="CS61" i="4"/>
  <c r="CT61" i="4" s="1"/>
  <c r="C80" i="1"/>
  <c r="A271" i="13"/>
  <c r="AX172" i="13"/>
  <c r="A241" i="13"/>
  <c r="AX142" i="13"/>
  <c r="BV72" i="4" a="1"/>
  <c r="BV72" i="4" s="1"/>
  <c r="BW72" i="4" a="1"/>
  <c r="BW72" i="4" s="1"/>
  <c r="BU72" i="4" s="1" a="1"/>
  <c r="BU72" i="4" s="1"/>
  <c r="BA42" i="4"/>
  <c r="BV46" i="4" a="1"/>
  <c r="BV46" i="4" s="1"/>
  <c r="BW46" i="4" a="1"/>
  <c r="BW46" i="4" s="1"/>
  <c r="BU46" i="4" s="1" a="1"/>
  <c r="BU46" i="4" s="1"/>
  <c r="AV616" i="13"/>
  <c r="J20" i="69"/>
  <c r="CS11" i="4"/>
  <c r="CT11" i="4" s="1"/>
  <c r="M8" i="69"/>
  <c r="A94" i="69"/>
  <c r="E268" i="15"/>
  <c r="F268" i="15" s="1" a="1"/>
  <c r="F268" i="15" s="1"/>
  <c r="M4" i="69"/>
  <c r="BA34" i="4"/>
  <c r="BV79" i="4" a="1"/>
  <c r="BV79" i="4" s="1"/>
  <c r="BW79" i="4" a="1"/>
  <c r="BW79" i="4" s="1"/>
  <c r="BU79" i="4" s="1" a="1"/>
  <c r="BU79" i="4" s="1"/>
  <c r="C78" i="1"/>
  <c r="BV76" i="4" a="1"/>
  <c r="BV76" i="4" s="1"/>
  <c r="BW76" i="4" a="1"/>
  <c r="BW76" i="4" s="1"/>
  <c r="BU76" i="4" s="1" a="1"/>
  <c r="BU76" i="4" s="1"/>
  <c r="Z81" i="69"/>
  <c r="AX128" i="13"/>
  <c r="A227" i="13"/>
  <c r="BV31" i="4" a="1"/>
  <c r="BV31" i="4" s="1"/>
  <c r="BW31" i="4" a="1"/>
  <c r="BW31" i="4" s="1"/>
  <c r="BU31" i="4" s="1" a="1"/>
  <c r="BU31" i="4" s="1"/>
  <c r="BV81" i="4" a="1"/>
  <c r="BV81" i="4" s="1"/>
  <c r="BW81" i="4" a="1"/>
  <c r="BW81" i="4" s="1"/>
  <c r="BU81" i="4" s="1" a="1"/>
  <c r="BU81" i="4" s="1"/>
  <c r="J15" i="27"/>
  <c r="E19" i="4"/>
  <c r="BA19" i="4" s="1"/>
  <c r="C95" i="1"/>
  <c r="AI4" i="4"/>
  <c r="I4" i="69" s="1"/>
  <c r="BV52" i="4" a="1"/>
  <c r="BV52" i="4" s="1"/>
  <c r="BW52" i="4" a="1"/>
  <c r="BW52" i="4" s="1"/>
  <c r="BU52" i="4" s="1" a="1"/>
  <c r="BU52" i="4" s="1"/>
  <c r="E46" i="4"/>
  <c r="AX124" i="13"/>
  <c r="A223" i="13"/>
  <c r="AV112" i="13"/>
  <c r="T11" i="69"/>
  <c r="BE11" i="69" s="1" a="1"/>
  <c r="BE11" i="69" s="1"/>
  <c r="M11" i="69"/>
  <c r="E360" i="15"/>
  <c r="F359" i="15" s="1" a="1"/>
  <c r="F359" i="15" s="1"/>
  <c r="AX135" i="13"/>
  <c r="A234" i="13"/>
  <c r="BW6" i="4" a="1"/>
  <c r="BW6" i="4" s="1"/>
  <c r="BU6" i="4" s="1" a="1"/>
  <c r="BU6" i="4" s="1"/>
  <c r="BV6" i="4" a="1"/>
  <c r="BV6" i="4" s="1"/>
  <c r="BV74" i="4" a="1"/>
  <c r="BV74" i="4" s="1"/>
  <c r="BW74" i="4" a="1"/>
  <c r="BW74" i="4" s="1"/>
  <c r="BU74" i="4" s="1" a="1"/>
  <c r="BU74" i="4" s="1"/>
  <c r="BW44" i="4" a="1"/>
  <c r="BW44" i="4" s="1"/>
  <c r="BU44" i="4" s="1" a="1"/>
  <c r="BU44" i="4" s="1"/>
  <c r="BV44" i="4" a="1"/>
  <c r="BV44" i="4" s="1"/>
  <c r="AX185" i="13"/>
  <c r="A284" i="13"/>
  <c r="C68" i="1"/>
  <c r="AV111" i="13"/>
  <c r="T10" i="69"/>
  <c r="BE10" i="69" s="1" a="1"/>
  <c r="BE10" i="69" s="1"/>
  <c r="M10" i="69"/>
  <c r="BV32" i="4" a="1"/>
  <c r="BV32" i="4" s="1"/>
  <c r="BW32" i="4" a="1"/>
  <c r="BW32" i="4" s="1"/>
  <c r="BU32" i="4" s="1" a="1"/>
  <c r="BU32" i="4" s="1"/>
  <c r="AX188" i="13"/>
  <c r="A287" i="13"/>
  <c r="A244" i="13"/>
  <c r="AX145" i="13"/>
  <c r="BW34" i="4" a="1"/>
  <c r="BW34" i="4" s="1"/>
  <c r="BU34" i="4" s="1" a="1"/>
  <c r="BU34" i="4" s="1"/>
  <c r="BV34" i="4" a="1"/>
  <c r="BV34" i="4" s="1"/>
  <c r="AX182" i="13"/>
  <c r="A281" i="13"/>
  <c r="Z56" i="69"/>
  <c r="AX115" i="13"/>
  <c r="A214" i="13"/>
  <c r="E420" i="15"/>
  <c r="BW19" i="4" a="1"/>
  <c r="BW19" i="4" s="1"/>
  <c r="BU19" i="4" s="1" a="1"/>
  <c r="BU19" i="4" s="1"/>
  <c r="BV19" i="4" a="1"/>
  <c r="BV19" i="4" s="1"/>
  <c r="A292" i="13"/>
  <c r="AX193" i="13"/>
  <c r="Z82" i="69"/>
  <c r="AV501" i="13"/>
  <c r="BI4" i="4"/>
  <c r="E59" i="4"/>
  <c r="BA59" i="4" s="1"/>
  <c r="AV260" i="13"/>
  <c r="AK3" i="1" s="1" a="1"/>
  <c r="AK3" i="1" s="1"/>
  <c r="AK98" i="1" s="1"/>
  <c r="C755" i="13"/>
  <c r="CY60" i="4"/>
  <c r="D755" i="13"/>
  <c r="AX127" i="13"/>
  <c r="A226" i="13"/>
  <c r="M46" i="69"/>
  <c r="J509" i="15"/>
  <c r="BV61" i="4" a="1"/>
  <c r="BV61" i="4" s="1"/>
  <c r="BW61" i="4" a="1"/>
  <c r="BW61" i="4" s="1"/>
  <c r="BU61" i="4" s="1" a="1"/>
  <c r="BU61" i="4" s="1"/>
  <c r="AV120" i="13"/>
  <c r="T19" i="69"/>
  <c r="BE19" i="69" s="1" a="1"/>
  <c r="BE19" i="69" s="1"/>
  <c r="AV611" i="13"/>
  <c r="J15" i="69"/>
  <c r="AV106" i="13"/>
  <c r="M5" i="69"/>
  <c r="C72" i="1"/>
  <c r="BW39" i="4" a="1"/>
  <c r="BW39" i="4" s="1"/>
  <c r="BU39" i="4" s="1" a="1"/>
  <c r="BU39" i="4" s="1"/>
  <c r="BV39" i="4" a="1"/>
  <c r="BV39" i="4" s="1"/>
  <c r="BA35" i="4"/>
  <c r="AX176" i="13"/>
  <c r="A275" i="13"/>
  <c r="AT42" i="69"/>
  <c r="AT29" i="69"/>
  <c r="A232" i="13"/>
  <c r="AX133" i="13"/>
  <c r="A249" i="13"/>
  <c r="AX150" i="13"/>
  <c r="Z59" i="69"/>
  <c r="E235" i="15"/>
  <c r="E149" i="15"/>
  <c r="E104" i="15"/>
  <c r="A231" i="13"/>
  <c r="AX132" i="13"/>
  <c r="E9" i="4"/>
  <c r="C87" i="1"/>
  <c r="BE95" i="4"/>
  <c r="AV592" i="13"/>
  <c r="BI95" i="4"/>
  <c r="E52" i="4"/>
  <c r="E26" i="4"/>
  <c r="BA26" i="4" s="1"/>
  <c r="AX149" i="13"/>
  <c r="A248" i="13"/>
  <c r="C64" i="1"/>
  <c r="AX173" i="13"/>
  <c r="A272" i="13"/>
  <c r="A252" i="13"/>
  <c r="AX153" i="13"/>
  <c r="T20" i="69"/>
  <c r="BE20" i="69" s="1" a="1"/>
  <c r="BE20" i="69" s="1"/>
  <c r="E74" i="4"/>
  <c r="BV83" i="4" a="1"/>
  <c r="BV83" i="4" s="1"/>
  <c r="BW83" i="4" a="1"/>
  <c r="BW83" i="4" s="1"/>
  <c r="BU83" i="4" s="1" a="1"/>
  <c r="BU83" i="4" s="1"/>
  <c r="E437" i="15"/>
  <c r="F437" i="15" s="1" a="1"/>
  <c r="F437" i="15" s="1"/>
  <c r="E150" i="15"/>
  <c r="E137" i="15"/>
  <c r="E85" i="15"/>
  <c r="E107" i="15"/>
  <c r="F107" i="15" s="1" a="1"/>
  <c r="F107" i="15" s="1"/>
  <c r="E166" i="15"/>
  <c r="E128" i="15"/>
  <c r="E250" i="15"/>
  <c r="E377" i="15"/>
  <c r="F376" i="15" s="1" a="1"/>
  <c r="F376" i="15" s="1"/>
  <c r="AX111" i="13"/>
  <c r="A210" i="13"/>
  <c r="A256" i="13"/>
  <c r="AX157" i="13"/>
  <c r="AD1684" i="13"/>
  <c r="AD1685" i="13" s="1" a="1"/>
  <c r="AD1685" i="13" s="1"/>
  <c r="AD1686" i="13" s="1"/>
  <c r="AX1691" i="13" s="1"/>
  <c r="C57" i="1"/>
  <c r="A222" i="13"/>
  <c r="AX123" i="13"/>
  <c r="A219" i="13"/>
  <c r="AX120" i="13"/>
  <c r="BW26" i="4" a="1"/>
  <c r="BW26" i="4" s="1"/>
  <c r="BU26" i="4" s="1" a="1"/>
  <c r="BU26" i="4" s="1"/>
  <c r="BV26" i="4" a="1"/>
  <c r="BV26" i="4" s="1"/>
  <c r="Z90" i="69"/>
  <c r="E39" i="4"/>
  <c r="BA39" i="4" s="1"/>
  <c r="BV48" i="4" a="1"/>
  <c r="BV48" i="4" s="1"/>
  <c r="BW48" i="4" a="1"/>
  <c r="BW48" i="4" s="1"/>
  <c r="BU48" i="4" s="1" a="1"/>
  <c r="BU48" i="4" s="1"/>
  <c r="BW35" i="4" a="1"/>
  <c r="BW35" i="4" s="1"/>
  <c r="BU35" i="4" s="1" a="1"/>
  <c r="BU35" i="4" s="1"/>
  <c r="BV35" i="4" a="1"/>
  <c r="BV35" i="4" s="1"/>
  <c r="E129" i="15"/>
  <c r="E105" i="15"/>
  <c r="BH8" i="69"/>
  <c r="BJ8" i="69" s="1"/>
  <c r="AY8" i="69"/>
  <c r="E8" i="69"/>
  <c r="BI8" i="69" a="1"/>
  <c r="BI8" i="69" s="1"/>
  <c r="R8" i="69"/>
  <c r="BI9" i="69" a="1"/>
  <c r="BI9" i="69" s="1"/>
  <c r="BH9" i="69"/>
  <c r="BJ9" i="69" s="1"/>
  <c r="AV9" i="69"/>
  <c r="BL9" i="69"/>
  <c r="R9" i="69"/>
  <c r="E9" i="69"/>
  <c r="AY9" i="69"/>
  <c r="E15" i="4"/>
  <c r="BA62" i="4"/>
  <c r="E421" i="15"/>
  <c r="BV82" i="4" a="1"/>
  <c r="BV82" i="4" s="1"/>
  <c r="BW82" i="4" a="1"/>
  <c r="BW82" i="4" s="1"/>
  <c r="BU82" i="4" s="1" a="1"/>
  <c r="BU82" i="4" s="1"/>
  <c r="E33" i="4"/>
  <c r="AX148" i="13"/>
  <c r="A247" i="13"/>
  <c r="AV104" i="13"/>
  <c r="A228" i="13"/>
  <c r="AX129" i="13"/>
  <c r="A291" i="13"/>
  <c r="AX192" i="13"/>
  <c r="A289" i="13"/>
  <c r="AX190" i="13"/>
  <c r="AX187" i="13"/>
  <c r="A286" i="13"/>
  <c r="BW51" i="4" a="1"/>
  <c r="BW51" i="4" s="1"/>
  <c r="BU51" i="4" s="1" a="1"/>
  <c r="BU51" i="4" s="1"/>
  <c r="BV51" i="4" a="1"/>
  <c r="BV51" i="4" s="1"/>
  <c r="CS84" i="4"/>
  <c r="CT84" i="4" s="1"/>
  <c r="E54" i="4"/>
  <c r="E89" i="4"/>
  <c r="BW30" i="4" a="1"/>
  <c r="BW30" i="4" s="1"/>
  <c r="BU30" i="4" s="1" a="1"/>
  <c r="BU30" i="4" s="1"/>
  <c r="BV30" i="4" a="1"/>
  <c r="BV30" i="4" s="1"/>
  <c r="G44" i="4"/>
  <c r="BL44" i="4"/>
  <c r="CQ36" i="4"/>
  <c r="CR36" i="4" s="1"/>
  <c r="BT6" i="4"/>
  <c r="BL56" i="4"/>
  <c r="G56" i="4"/>
  <c r="CQ56" i="4"/>
  <c r="CR56" i="4" s="1"/>
  <c r="G83" i="4"/>
  <c r="CS83" i="4" s="1"/>
  <c r="CT83" i="4" s="1"/>
  <c r="BL83" i="4"/>
  <c r="G87" i="4"/>
  <c r="BL87" i="4"/>
  <c r="BT64" i="4"/>
  <c r="BT9" i="4"/>
  <c r="BC72" i="4"/>
  <c r="BL26" i="4"/>
  <c r="G26" i="4"/>
  <c r="CQ48" i="4"/>
  <c r="CR48" i="4" s="1"/>
  <c r="G35" i="4"/>
  <c r="BQ35" i="4" s="1"/>
  <c r="BL35" i="4"/>
  <c r="G78" i="4"/>
  <c r="BL78" i="4"/>
  <c r="Q11" i="69"/>
  <c r="R11" i="69" s="1"/>
  <c r="CQ38" i="4"/>
  <c r="CR38" i="4" s="1"/>
  <c r="G82" i="4"/>
  <c r="BL82" i="4"/>
  <c r="Q16" i="69"/>
  <c r="Q13" i="69"/>
  <c r="R13" i="69" s="1"/>
  <c r="CQ24" i="4"/>
  <c r="CR24" i="4" s="1"/>
  <c r="BT69" i="4"/>
  <c r="CQ51" i="4"/>
  <c r="CR51" i="4" s="1"/>
  <c r="G54" i="4"/>
  <c r="BL54" i="4"/>
  <c r="G29" i="4"/>
  <c r="BL29" i="4"/>
  <c r="BL70" i="4"/>
  <c r="G70" i="4"/>
  <c r="CQ30" i="4"/>
  <c r="CR30" i="4" s="1"/>
  <c r="J14" i="69"/>
  <c r="AY19" i="69"/>
  <c r="BI19" i="69" a="1"/>
  <c r="BI19" i="69" s="1"/>
  <c r="BH19" i="69"/>
  <c r="BJ19" i="69" s="1"/>
  <c r="E19" i="69"/>
  <c r="BH11" i="69"/>
  <c r="BJ11" i="69" s="1"/>
  <c r="AY11" i="69"/>
  <c r="BI11" i="69" a="1"/>
  <c r="BI11" i="69" s="1"/>
  <c r="E11" i="69"/>
  <c r="AV16" i="69"/>
  <c r="E16" i="69"/>
  <c r="BH16" i="69"/>
  <c r="BJ16" i="69" s="1"/>
  <c r="AY16" i="69"/>
  <c r="BI16" i="69" a="1"/>
  <c r="BI16" i="69" s="1"/>
  <c r="BL16" i="69"/>
  <c r="AX160" i="13"/>
  <c r="A259" i="13"/>
  <c r="BW15" i="4" a="1"/>
  <c r="BW15" i="4" s="1"/>
  <c r="BU15" i="4" s="1" a="1"/>
  <c r="BU15" i="4" s="1"/>
  <c r="BV15" i="4" a="1"/>
  <c r="BV15" i="4" s="1"/>
  <c r="BW33" i="4" a="1"/>
  <c r="BW33" i="4" s="1"/>
  <c r="BU33" i="4" s="1" a="1"/>
  <c r="BU33" i="4" s="1"/>
  <c r="BV33" i="4" a="1"/>
  <c r="BV33" i="4" s="1"/>
  <c r="BW88" i="4" a="1"/>
  <c r="BW88" i="4" s="1"/>
  <c r="BU88" i="4" s="1" a="1"/>
  <c r="BU88" i="4" s="1"/>
  <c r="BV88" i="4" a="1"/>
  <c r="BV88" i="4" s="1"/>
  <c r="AX162" i="13"/>
  <c r="A261" i="13"/>
  <c r="AX183" i="13"/>
  <c r="A282" i="13"/>
  <c r="AX189" i="13"/>
  <c r="A288" i="13"/>
  <c r="E12" i="4"/>
  <c r="BA73" i="4"/>
  <c r="AX125" i="13"/>
  <c r="A224" i="13"/>
  <c r="A251" i="13"/>
  <c r="AX152" i="13"/>
  <c r="CQ6" i="4"/>
  <c r="CR6" i="4" s="1"/>
  <c r="CQ61" i="4"/>
  <c r="CR61" i="4" s="1"/>
  <c r="BL81" i="4"/>
  <c r="G81" i="4"/>
  <c r="BL22" i="4"/>
  <c r="G22" i="4"/>
  <c r="G23" i="4"/>
  <c r="V39" i="22" s="1"/>
  <c r="BL23" i="4"/>
  <c r="BL77" i="4"/>
  <c r="G77" i="4"/>
  <c r="BL33" i="4"/>
  <c r="G33" i="4"/>
  <c r="G12" i="4"/>
  <c r="BL12" i="4"/>
  <c r="BL73" i="4"/>
  <c r="G73" i="4"/>
  <c r="CQ29" i="4"/>
  <c r="CR29" i="4" s="1"/>
  <c r="BM4" i="69"/>
  <c r="H208" i="15" a="1"/>
  <c r="H208" i="15" s="1"/>
  <c r="I208" i="15" a="1"/>
  <c r="I208" i="15" s="1"/>
  <c r="R15" i="69"/>
  <c r="AY15" i="69"/>
  <c r="E15" i="69"/>
  <c r="BI15" i="69" a="1"/>
  <c r="BI15" i="69" s="1"/>
  <c r="BH15" i="69"/>
  <c r="BJ15" i="69" s="1"/>
  <c r="BW3" i="4" a="1"/>
  <c r="BW3" i="4" s="1"/>
  <c r="BU3" i="4" s="1" a="1"/>
  <c r="BU3" i="4" s="1"/>
  <c r="BV3" i="4" a="1"/>
  <c r="BV3" i="4" s="1"/>
  <c r="A60" i="20"/>
  <c r="BS60" i="4" a="1"/>
  <c r="BS60" i="4" s="1"/>
  <c r="S93" i="22"/>
  <c r="AZ60" i="4" a="1"/>
  <c r="AZ60" i="4" s="1"/>
  <c r="D60" i="4"/>
  <c r="C60" i="4"/>
  <c r="BR60" i="4" a="1"/>
  <c r="BR60" i="4" s="1"/>
  <c r="BV8" i="4" a="1"/>
  <c r="BV8" i="4" s="1"/>
  <c r="BW8" i="4" a="1"/>
  <c r="BW8" i="4" s="1"/>
  <c r="BU8" i="4" s="1" a="1"/>
  <c r="BU8" i="4" s="1"/>
  <c r="BV53" i="4" a="1"/>
  <c r="BV53" i="4" s="1"/>
  <c r="BW53" i="4" a="1"/>
  <c r="BW53" i="4" s="1"/>
  <c r="BU53" i="4" s="1" a="1"/>
  <c r="BU53" i="4" s="1"/>
  <c r="E77" i="4"/>
  <c r="A277" i="13"/>
  <c r="AX178" i="13"/>
  <c r="BW40" i="4" a="1"/>
  <c r="BW40" i="4" s="1"/>
  <c r="BU40" i="4" s="1" a="1"/>
  <c r="BU40" i="4" s="1"/>
  <c r="BV40" i="4" a="1"/>
  <c r="BV40" i="4" s="1"/>
  <c r="E316" i="15"/>
  <c r="CR3" i="4"/>
  <c r="A225" i="13"/>
  <c r="AX126" i="13"/>
  <c r="BV67" i="4" a="1"/>
  <c r="BV67" i="4" s="1"/>
  <c r="BW67" i="4" a="1"/>
  <c r="BW67" i="4" s="1"/>
  <c r="BU67" i="4" s="1" a="1"/>
  <c r="BU67" i="4" s="1"/>
  <c r="BV13" i="4" a="1"/>
  <c r="BV13" i="4" s="1"/>
  <c r="BW13" i="4" a="1"/>
  <c r="BW13" i="4" s="1"/>
  <c r="BU13" i="4" s="1" a="1"/>
  <c r="BU13" i="4" s="1"/>
  <c r="BV69" i="4" a="1"/>
  <c r="BV69" i="4" s="1"/>
  <c r="BW69" i="4" a="1"/>
  <c r="BW69" i="4" s="1"/>
  <c r="BU69" i="4" s="1" a="1"/>
  <c r="BU69" i="4" s="1"/>
  <c r="BW54" i="4" a="1"/>
  <c r="BW54" i="4" s="1"/>
  <c r="BU54" i="4" s="1" a="1"/>
  <c r="BU54" i="4" s="1"/>
  <c r="BV54" i="4" a="1"/>
  <c r="BV54" i="4" s="1"/>
  <c r="E124" i="15"/>
  <c r="BL6" i="4"/>
  <c r="G6" i="4"/>
  <c r="CQ27" i="4"/>
  <c r="CR27" i="4" s="1"/>
  <c r="G32" i="4"/>
  <c r="BL32" i="4"/>
  <c r="CQ76" i="4"/>
  <c r="CR76" i="4" s="1"/>
  <c r="CQ87" i="4"/>
  <c r="CR87" i="4" s="1"/>
  <c r="CS46" i="4"/>
  <c r="CT46" i="4" s="1"/>
  <c r="Q3" i="69"/>
  <c r="R3" i="69" s="1"/>
  <c r="Q5" i="69"/>
  <c r="R5" i="69" s="1"/>
  <c r="AU8" i="69"/>
  <c r="CQ78" i="4"/>
  <c r="CR78" i="4" s="1"/>
  <c r="CQ62" i="4"/>
  <c r="CR62" i="4" s="1"/>
  <c r="G62" i="4"/>
  <c r="BQ62" i="4" s="1"/>
  <c r="BL62" i="4"/>
  <c r="CQ63" i="4"/>
  <c r="CR63" i="4" s="1"/>
  <c r="G13" i="4"/>
  <c r="BL13" i="4"/>
  <c r="BM15" i="69"/>
  <c r="AV17" i="69"/>
  <c r="BH17" i="69"/>
  <c r="BJ17" i="69" s="1"/>
  <c r="BI17" i="69" a="1"/>
  <c r="BI17" i="69" s="1"/>
  <c r="AY17" i="69"/>
  <c r="E17" i="69"/>
  <c r="AX140" i="13"/>
  <c r="A239" i="13"/>
  <c r="AX62" i="13"/>
  <c r="A161" i="13"/>
  <c r="A268" i="13"/>
  <c r="AX169" i="13"/>
  <c r="E53" i="4"/>
  <c r="BV77" i="4" a="1"/>
  <c r="BV77" i="4" s="1"/>
  <c r="BW77" i="4" a="1"/>
  <c r="BW77" i="4" s="1"/>
  <c r="BU77" i="4" s="1" a="1"/>
  <c r="BU77" i="4" s="1"/>
  <c r="BV11" i="4" a="1"/>
  <c r="BV11" i="4" s="1"/>
  <c r="BW11" i="4" a="1"/>
  <c r="BW11" i="4" s="1"/>
  <c r="BU11" i="4" s="1" a="1"/>
  <c r="BU11" i="4" s="1"/>
  <c r="AV599" i="13"/>
  <c r="E67" i="4"/>
  <c r="BA67" i="4" s="1"/>
  <c r="E85" i="4"/>
  <c r="G27" i="4"/>
  <c r="AC27" i="69" s="1"/>
  <c r="BL27" i="4"/>
  <c r="CQ26" i="4"/>
  <c r="CR26" i="4" s="1"/>
  <c r="BL42" i="4"/>
  <c r="G42" i="4"/>
  <c r="W61" i="22" s="1"/>
  <c r="Y61" i="22" s="1"/>
  <c r="CQ42" i="4"/>
  <c r="CR42" i="4" s="1"/>
  <c r="BL15" i="4"/>
  <c r="G15" i="4"/>
  <c r="AU15" i="69"/>
  <c r="AV15" i="69" s="1"/>
  <c r="BT78" i="4"/>
  <c r="BL68" i="4"/>
  <c r="G68" i="4"/>
  <c r="BL63" i="4"/>
  <c r="G63" i="4"/>
  <c r="BT24" i="4"/>
  <c r="BT73" i="4"/>
  <c r="BT86" i="4"/>
  <c r="AW4" i="69"/>
  <c r="AV6" i="69"/>
  <c r="E6" i="69"/>
  <c r="AY6" i="69"/>
  <c r="BI6" i="69" a="1"/>
  <c r="BI6" i="69" s="1"/>
  <c r="BH6" i="69"/>
  <c r="BJ6" i="69" s="1"/>
  <c r="R6" i="69"/>
  <c r="AY18" i="69"/>
  <c r="BI18" i="69" a="1"/>
  <c r="BI18" i="69" s="1"/>
  <c r="E18" i="69"/>
  <c r="BH18" i="69"/>
  <c r="BJ18" i="69" s="1"/>
  <c r="E90" i="4"/>
  <c r="BW47" i="4" a="1"/>
  <c r="BW47" i="4" s="1"/>
  <c r="BU47" i="4" s="1" a="1"/>
  <c r="BU47" i="4" s="1"/>
  <c r="BV47" i="4" a="1"/>
  <c r="BV47" i="4" s="1"/>
  <c r="E82" i="4"/>
  <c r="BA82" i="4" s="1"/>
  <c r="BV25" i="4" a="1"/>
  <c r="BV25" i="4" s="1"/>
  <c r="BW25" i="4" a="1"/>
  <c r="BW25" i="4" s="1"/>
  <c r="BU25" i="4" s="1" a="1"/>
  <c r="BU25" i="4" s="1"/>
  <c r="AX501" i="13"/>
  <c r="A600" i="13"/>
  <c r="E16" i="4"/>
  <c r="AX57" i="4" a="1"/>
  <c r="AX57" i="4" s="1"/>
  <c r="AY57" i="4" s="1"/>
  <c r="AV158" i="13" s="1"/>
  <c r="AX194" i="13"/>
  <c r="A293" i="13"/>
  <c r="BV28" i="4" a="1"/>
  <c r="BV28" i="4" s="1"/>
  <c r="BW28" i="4" a="1"/>
  <c r="BW28" i="4" s="1"/>
  <c r="BU28" i="4" s="1" a="1"/>
  <c r="BU28" i="4" s="1"/>
  <c r="E86" i="4"/>
  <c r="BA86" i="4" s="1"/>
  <c r="BL36" i="4"/>
  <c r="G36" i="4"/>
  <c r="V56" i="22" s="1"/>
  <c r="G43" i="4"/>
  <c r="BL43" i="4"/>
  <c r="CQ37" i="4"/>
  <c r="CR37" i="4" s="1"/>
  <c r="BL61" i="4"/>
  <c r="G61" i="4"/>
  <c r="CQ81" i="4"/>
  <c r="CR81" i="4" s="1"/>
  <c r="AU7" i="69"/>
  <c r="CQ77" i="4"/>
  <c r="CR77" i="4" s="1"/>
  <c r="CQ47" i="4"/>
  <c r="CR47" i="4" s="1"/>
  <c r="CQ57" i="4"/>
  <c r="CR57" i="4" s="1"/>
  <c r="BL25" i="4"/>
  <c r="G25" i="4"/>
  <c r="CQ67" i="4"/>
  <c r="CR67" i="4" s="1"/>
  <c r="BL51" i="4"/>
  <c r="G51" i="4"/>
  <c r="AV12" i="69"/>
  <c r="E12" i="69"/>
  <c r="BL12" i="69"/>
  <c r="BE12" i="69" a="1"/>
  <c r="BE12" i="69" s="1"/>
  <c r="BH12" i="69"/>
  <c r="BJ12" i="69" s="1"/>
  <c r="AY12" i="69"/>
  <c r="BI12" i="69" a="1"/>
  <c r="BI12" i="69" s="1"/>
  <c r="I446" i="15" a="1"/>
  <c r="I446" i="15" s="1"/>
  <c r="H446" i="15" a="1"/>
  <c r="H446" i="15" s="1"/>
  <c r="AX139" i="13"/>
  <c r="A238" i="13"/>
  <c r="E40" i="4"/>
  <c r="BA40" i="4" s="1"/>
  <c r="E255" i="15"/>
  <c r="BA57" i="4"/>
  <c r="W94" i="4"/>
  <c r="AV1284" i="13" s="1"/>
  <c r="E94" i="4"/>
  <c r="AI94" i="4"/>
  <c r="I94" i="69" s="1"/>
  <c r="F94" i="4"/>
  <c r="AE94" i="4"/>
  <c r="AV1383" i="13" s="1"/>
  <c r="A263" i="13"/>
  <c r="AX164" i="13"/>
  <c r="AX119" i="13"/>
  <c r="A218" i="13"/>
  <c r="E63" i="4"/>
  <c r="E13" i="4"/>
  <c r="AX118" i="13"/>
  <c r="A217" i="13"/>
  <c r="A237" i="13"/>
  <c r="AX138" i="13"/>
  <c r="BW89" i="4" a="1"/>
  <c r="BW89" i="4" s="1"/>
  <c r="BU89" i="4" s="1" a="1"/>
  <c r="BU89" i="4" s="1"/>
  <c r="BV89" i="4" a="1"/>
  <c r="BV89" i="4" s="1"/>
  <c r="E29" i="4"/>
  <c r="AI58" i="4"/>
  <c r="I58" i="69" s="1"/>
  <c r="BT44" i="4"/>
  <c r="BL37" i="4"/>
  <c r="G37" i="4"/>
  <c r="W54" i="22" s="1"/>
  <c r="Y54" i="22" s="1"/>
  <c r="BL49" i="4"/>
  <c r="G49" i="4"/>
  <c r="BL31" i="4"/>
  <c r="G31" i="4"/>
  <c r="G64" i="4"/>
  <c r="BL64" i="4"/>
  <c r="BT14" i="4"/>
  <c r="CQ52" i="4"/>
  <c r="CR52" i="4" s="1"/>
  <c r="BT75" i="4"/>
  <c r="CQ65" i="4"/>
  <c r="CR65" i="4" s="1"/>
  <c r="G3" i="4"/>
  <c r="BL3" i="4"/>
  <c r="G40" i="4"/>
  <c r="V59" i="22" s="1"/>
  <c r="BL40" i="4"/>
  <c r="G57" i="4"/>
  <c r="BQ57" i="4" s="1"/>
  <c r="BL57" i="4"/>
  <c r="CQ25" i="4"/>
  <c r="CR25" i="4" s="1"/>
  <c r="BH7" i="69"/>
  <c r="BJ7" i="69" s="1"/>
  <c r="E7" i="69"/>
  <c r="AY7" i="69"/>
  <c r="BI7" i="69" a="1"/>
  <c r="BI7" i="69" s="1"/>
  <c r="E5" i="4"/>
  <c r="BA5" i="4" s="1"/>
  <c r="A240" i="13"/>
  <c r="AX141" i="13"/>
  <c r="E11" i="4"/>
  <c r="BA11" i="4" s="1"/>
  <c r="E68" i="4"/>
  <c r="BA68" i="4" s="1"/>
  <c r="A216" i="13"/>
  <c r="AX117" i="13"/>
  <c r="A212" i="13"/>
  <c r="AX113" i="13"/>
  <c r="A207" i="13"/>
  <c r="AX108" i="13"/>
  <c r="BV16" i="4" a="1"/>
  <c r="BV16" i="4" s="1"/>
  <c r="BW16" i="4" a="1"/>
  <c r="BW16" i="4" s="1"/>
  <c r="BU16" i="4" s="1" a="1"/>
  <c r="BU16" i="4" s="1"/>
  <c r="AX167" i="13"/>
  <c r="A266" i="13"/>
  <c r="BW24" i="4" a="1"/>
  <c r="BW24" i="4" s="1"/>
  <c r="BU24" i="4" s="1" a="1"/>
  <c r="BU24" i="4" s="1"/>
  <c r="BV24" i="4" a="1"/>
  <c r="BV24" i="4" s="1"/>
  <c r="BV85" i="4" a="1"/>
  <c r="BV85" i="4" s="1"/>
  <c r="BW85" i="4" a="1"/>
  <c r="BW85" i="4" s="1"/>
  <c r="BU85" i="4" s="1" a="1"/>
  <c r="BU85" i="4" s="1"/>
  <c r="E28" i="4"/>
  <c r="E20" i="4"/>
  <c r="CQ43" i="4"/>
  <c r="CR43" i="4" s="1"/>
  <c r="CQ32" i="4"/>
  <c r="CR32" i="4" s="1"/>
  <c r="BL74" i="4"/>
  <c r="G74" i="4"/>
  <c r="CQ34" i="4"/>
  <c r="CR34" i="4" s="1"/>
  <c r="BT50" i="4"/>
  <c r="BL19" i="4"/>
  <c r="G19" i="4"/>
  <c r="G9" i="4"/>
  <c r="CW9" i="4" s="1" a="1"/>
  <c r="CW9" i="4" s="1"/>
  <c r="BL9" i="4"/>
  <c r="BT41" i="4"/>
  <c r="CQ75" i="4"/>
  <c r="CR75" i="4" s="1"/>
  <c r="BL18" i="4"/>
  <c r="G18" i="4"/>
  <c r="Q7" i="69"/>
  <c r="R7" i="69" s="1"/>
  <c r="G90" i="4"/>
  <c r="BL90" i="4"/>
  <c r="CQ82" i="4"/>
  <c r="CR82" i="4" s="1"/>
  <c r="G66" i="4"/>
  <c r="BL66" i="4"/>
  <c r="BL67" i="4"/>
  <c r="G67" i="4"/>
  <c r="CQ12" i="4"/>
  <c r="CR12" i="4" s="1"/>
  <c r="CQ69" i="4"/>
  <c r="CR69" i="4" s="1"/>
  <c r="G85" i="4"/>
  <c r="BL85" i="4"/>
  <c r="CQ91" i="4"/>
  <c r="CR91" i="4" s="1"/>
  <c r="G30" i="4"/>
  <c r="W45" i="22" s="1"/>
  <c r="Y45" i="22" s="1"/>
  <c r="BL30" i="4"/>
  <c r="AV4" i="69"/>
  <c r="AY4" i="69"/>
  <c r="BI4" i="69" a="1"/>
  <c r="BI4" i="69" s="1"/>
  <c r="E4" i="69"/>
  <c r="BH4" i="69"/>
  <c r="BJ4" i="69" s="1"/>
  <c r="R4" i="69"/>
  <c r="AG4" i="69" s="1" a="1"/>
  <c r="AG4" i="69" s="1"/>
  <c r="AH4" i="69" a="1"/>
  <c r="AH4" i="69" s="1"/>
  <c r="BF4" i="69" a="1"/>
  <c r="BF4" i="69" s="1"/>
  <c r="E10" i="69"/>
  <c r="BI10" i="69" a="1"/>
  <c r="BI10" i="69" s="1"/>
  <c r="BH10" i="69"/>
  <c r="BJ10" i="69" s="1"/>
  <c r="AY10" i="69"/>
  <c r="B60" i="4"/>
  <c r="AX60" i="4" a="1"/>
  <c r="AX60" i="4" s="1"/>
  <c r="AY60" i="4" s="1"/>
  <c r="AV161" i="13" s="1"/>
  <c r="CS58" i="4"/>
  <c r="CT58" i="4" s="1"/>
  <c r="E58" i="4"/>
  <c r="AE58" i="4"/>
  <c r="AV1347" i="13" s="1"/>
  <c r="E47" i="4"/>
  <c r="BA47" i="4" s="1"/>
  <c r="E66" i="4"/>
  <c r="A215" i="13"/>
  <c r="AX116" i="13"/>
  <c r="BW63" i="4" a="1"/>
  <c r="BW63" i="4" s="1"/>
  <c r="BU63" i="4" s="1" a="1"/>
  <c r="BU63" i="4" s="1"/>
  <c r="BV63" i="4" a="1"/>
  <c r="BV63" i="4" s="1"/>
  <c r="E91" i="4"/>
  <c r="BA91" i="4" s="1"/>
  <c r="AX456" i="13"/>
  <c r="A555" i="13"/>
  <c r="BW29" i="4" a="1"/>
  <c r="BW29" i="4" s="1"/>
  <c r="BU29" i="4" s="1" a="1"/>
  <c r="BU29" i="4" s="1"/>
  <c r="BV29" i="4" a="1"/>
  <c r="BV29" i="4" s="1"/>
  <c r="BW17" i="4" a="1"/>
  <c r="BW17" i="4" s="1"/>
  <c r="BU17" i="4" s="1" a="1"/>
  <c r="BU17" i="4" s="1"/>
  <c r="BV17" i="4" a="1"/>
  <c r="BV17" i="4" s="1"/>
  <c r="G34" i="4"/>
  <c r="BL34" i="4"/>
  <c r="G84" i="4"/>
  <c r="CW84" i="4" s="1" a="1"/>
  <c r="CW84" i="4" s="1"/>
  <c r="BL84" i="4"/>
  <c r="BL41" i="4"/>
  <c r="G41" i="4"/>
  <c r="CQ59" i="4"/>
  <c r="CR59" i="4" s="1"/>
  <c r="CQ23" i="4"/>
  <c r="CR23" i="4" s="1"/>
  <c r="BD72" i="4"/>
  <c r="AV1163" i="13" s="1"/>
  <c r="CQ72" i="4"/>
  <c r="CR72" i="4" s="1"/>
  <c r="G52" i="4"/>
  <c r="V74" i="22" s="1"/>
  <c r="BL52" i="4"/>
  <c r="BL75" i="4"/>
  <c r="G75" i="4"/>
  <c r="BL39" i="4"/>
  <c r="G39" i="4"/>
  <c r="G48" i="4"/>
  <c r="V22" i="22" s="1"/>
  <c r="BL48" i="4"/>
  <c r="CQ35" i="4"/>
  <c r="CR35" i="4" s="1"/>
  <c r="BL71" i="4"/>
  <c r="G71" i="4"/>
  <c r="Q18" i="69"/>
  <c r="G7" i="4"/>
  <c r="BQ7" i="4" s="1"/>
  <c r="BL7" i="4"/>
  <c r="G38" i="4"/>
  <c r="W55" i="22" s="1"/>
  <c r="Y55" i="22" s="1"/>
  <c r="BL38" i="4"/>
  <c r="CQ88" i="4"/>
  <c r="CR88" i="4" s="1"/>
  <c r="BO95" i="4"/>
  <c r="J95" i="4"/>
  <c r="BD95" i="4"/>
  <c r="AV1186" i="13" s="1"/>
  <c r="U95" i="4"/>
  <c r="BT67" i="4"/>
  <c r="CQ54" i="4"/>
  <c r="CR54" i="4" s="1"/>
  <c r="CQ89" i="4"/>
  <c r="CR89" i="4" s="1"/>
  <c r="CQ17" i="4"/>
  <c r="CR17" i="4" s="1"/>
  <c r="Q17" i="69"/>
  <c r="R17" i="69" s="1"/>
  <c r="AQ4" i="69" a="1"/>
  <c r="AQ4" i="69" s="1"/>
  <c r="E3" i="4"/>
  <c r="AY5" i="69"/>
  <c r="BI5" i="69" a="1"/>
  <c r="BI5" i="69" s="1"/>
  <c r="BH5" i="69"/>
  <c r="BJ5" i="69" s="1"/>
  <c r="E5" i="69"/>
  <c r="AV5" i="69"/>
  <c r="BE5" i="69" a="1"/>
  <c r="BE5" i="69" s="1"/>
  <c r="BL5" i="69"/>
  <c r="BM6" i="69"/>
  <c r="BW5" i="4" a="1"/>
  <c r="BW5" i="4" s="1"/>
  <c r="BU5" i="4" s="1" a="1"/>
  <c r="BU5" i="4" s="1"/>
  <c r="BV5" i="4" a="1"/>
  <c r="BV5" i="4" s="1"/>
  <c r="E18" i="4"/>
  <c r="BA18" i="4" s="1"/>
  <c r="A211" i="13"/>
  <c r="AX112" i="13"/>
  <c r="E80" i="4"/>
  <c r="BA80" i="4" s="1"/>
  <c r="AX109" i="13"/>
  <c r="A208" i="13"/>
  <c r="AX163" i="13"/>
  <c r="A262" i="13"/>
  <c r="A290" i="13"/>
  <c r="AX191" i="13"/>
  <c r="BW57" i="4" a="1"/>
  <c r="BW57" i="4" s="1"/>
  <c r="BU57" i="4" s="1" a="1"/>
  <c r="BU57" i="4" s="1"/>
  <c r="BV57" i="4" a="1"/>
  <c r="BV57" i="4" s="1"/>
  <c r="E25" i="4"/>
  <c r="BA25" i="4" s="1"/>
  <c r="AX174" i="13"/>
  <c r="A273" i="13"/>
  <c r="E24" i="4"/>
  <c r="AX175" i="13"/>
  <c r="A274" i="13"/>
  <c r="A254" i="13"/>
  <c r="AX155" i="13"/>
  <c r="BW86" i="4" a="1"/>
  <c r="BW86" i="4" s="1"/>
  <c r="BU86" i="4" s="1" a="1"/>
  <c r="BU86" i="4" s="1"/>
  <c r="BV86" i="4" a="1"/>
  <c r="BV86" i="4" s="1"/>
  <c r="G45" i="4"/>
  <c r="BL45" i="4"/>
  <c r="CQ44" i="4"/>
  <c r="CR44" i="4" s="1"/>
  <c r="BL79" i="4"/>
  <c r="G79" i="4"/>
  <c r="CQ50" i="4"/>
  <c r="CR50" i="4" s="1"/>
  <c r="AU19" i="69"/>
  <c r="BL14" i="4"/>
  <c r="G14" i="4"/>
  <c r="G72" i="4"/>
  <c r="BL72" i="4"/>
  <c r="G46" i="4"/>
  <c r="BL46" i="4"/>
  <c r="CQ71" i="4"/>
  <c r="CR71" i="4" s="1"/>
  <c r="BL5" i="4"/>
  <c r="G5" i="4"/>
  <c r="BL53" i="4"/>
  <c r="G53" i="4"/>
  <c r="BL80" i="4"/>
  <c r="G80" i="4"/>
  <c r="BT11" i="4"/>
  <c r="AU11" i="69"/>
  <c r="AV11" i="69" s="1"/>
  <c r="BT68" i="4"/>
  <c r="BC95" i="4"/>
  <c r="G91" i="4"/>
  <c r="BL91" i="4"/>
  <c r="CQ86" i="4"/>
  <c r="CR86" i="4" s="1"/>
  <c r="G20" i="4"/>
  <c r="BL20" i="4"/>
  <c r="I368" i="15" a="1"/>
  <c r="I368" i="15" s="1"/>
  <c r="H368" i="15" a="1"/>
  <c r="H368" i="15" s="1"/>
  <c r="E13" i="69"/>
  <c r="BH13" i="69"/>
  <c r="BJ13" i="69" s="1"/>
  <c r="BI13" i="69" a="1"/>
  <c r="BI13" i="69" s="1"/>
  <c r="AY13" i="69"/>
  <c r="AV13" i="69"/>
  <c r="BW7" i="4" a="1"/>
  <c r="BW7" i="4" s="1"/>
  <c r="BU7" i="4" s="1" a="1"/>
  <c r="BU7" i="4" s="1"/>
  <c r="BV7" i="4" a="1"/>
  <c r="BV7" i="4" s="1"/>
  <c r="CS76" i="4"/>
  <c r="CT76" i="4" s="1"/>
  <c r="BW80" i="4" a="1"/>
  <c r="BW80" i="4" s="1"/>
  <c r="BU80" i="4" s="1" a="1"/>
  <c r="BU80" i="4" s="1"/>
  <c r="BV80" i="4" a="1"/>
  <c r="BV80" i="4" s="1"/>
  <c r="AX179" i="13"/>
  <c r="A278" i="13"/>
  <c r="BV68" i="4" a="1"/>
  <c r="BV68" i="4" s="1"/>
  <c r="BW68" i="4" a="1"/>
  <c r="BW68" i="4" s="1"/>
  <c r="BU68" i="4" s="1" a="1"/>
  <c r="BU68" i="4" s="1"/>
  <c r="E38" i="4"/>
  <c r="BA38" i="4" s="1"/>
  <c r="AX168" i="13"/>
  <c r="A267" i="13"/>
  <c r="BW66" i="4" a="1"/>
  <c r="BW66" i="4" s="1"/>
  <c r="BU66" i="4" s="1" a="1"/>
  <c r="BU66" i="4" s="1"/>
  <c r="BV66" i="4" a="1"/>
  <c r="BV66" i="4" s="1"/>
  <c r="AX134" i="13"/>
  <c r="A233" i="13"/>
  <c r="E51" i="4"/>
  <c r="BA51" i="4" s="1"/>
  <c r="AX186" i="13"/>
  <c r="A285" i="13"/>
  <c r="E70" i="4"/>
  <c r="BW20" i="4" a="1"/>
  <c r="BW20" i="4" s="1"/>
  <c r="BU20" i="4" s="1" a="1"/>
  <c r="BU20" i="4" s="1"/>
  <c r="BV20" i="4" a="1"/>
  <c r="BV20" i="4" s="1"/>
  <c r="BT10" i="4"/>
  <c r="G76" i="4"/>
  <c r="BL76" i="4"/>
  <c r="BT49" i="4"/>
  <c r="BL92" i="4"/>
  <c r="G92" i="4"/>
  <c r="CQ64" i="4"/>
  <c r="CR64" i="4" s="1"/>
  <c r="Q14" i="69"/>
  <c r="R14" i="69" s="1"/>
  <c r="BL59" i="4"/>
  <c r="G59" i="4"/>
  <c r="BT72" i="4"/>
  <c r="CQ39" i="4"/>
  <c r="CR39" i="4" s="1"/>
  <c r="AU3" i="69"/>
  <c r="AV3" i="69" s="1"/>
  <c r="BL8" i="4"/>
  <c r="G8" i="4"/>
  <c r="BT33" i="4"/>
  <c r="CQ13" i="4"/>
  <c r="CR13" i="4" s="1"/>
  <c r="BL24" i="4"/>
  <c r="G24" i="4"/>
  <c r="W40" i="22" s="1"/>
  <c r="Y40" i="22" s="1"/>
  <c r="G69" i="4"/>
  <c r="BL69" i="4"/>
  <c r="G28" i="4"/>
  <c r="W43" i="22" s="1"/>
  <c r="Y43" i="22" s="1"/>
  <c r="BL28" i="4"/>
  <c r="BT17" i="4"/>
  <c r="AU20" i="69"/>
  <c r="AV20" i="69" s="1"/>
  <c r="E3" i="69"/>
  <c r="AY3" i="69"/>
  <c r="BH3" i="69"/>
  <c r="BJ3" i="69" s="1"/>
  <c r="BI3" i="69" a="1"/>
  <c r="BI3" i="69" s="1"/>
  <c r="BL3" i="69"/>
  <c r="BE3" i="69" a="1"/>
  <c r="BE3" i="69" s="1"/>
  <c r="BM9" i="69"/>
  <c r="AV14" i="69"/>
  <c r="BE14" i="69" a="1"/>
  <c r="BE14" i="69" s="1"/>
  <c r="BH14" i="69"/>
  <c r="BJ14" i="69" s="1"/>
  <c r="E14" i="69"/>
  <c r="BL14" i="69"/>
  <c r="AY14" i="69"/>
  <c r="BI14" i="69" a="1"/>
  <c r="BI14" i="69" s="1"/>
  <c r="E71" i="4"/>
  <c r="BV18" i="4" a="1"/>
  <c r="BV18" i="4" s="1"/>
  <c r="BW18" i="4" a="1"/>
  <c r="BW18" i="4" s="1"/>
  <c r="BU18" i="4" s="1" a="1"/>
  <c r="BU18" i="4" s="1"/>
  <c r="AX181" i="13"/>
  <c r="A280" i="13"/>
  <c r="BV78" i="4" a="1"/>
  <c r="BV78" i="4" s="1"/>
  <c r="BW78" i="4" a="1"/>
  <c r="BW78" i="4" s="1"/>
  <c r="BU78" i="4" s="1" a="1"/>
  <c r="BU78" i="4" s="1"/>
  <c r="BW62" i="4" a="1"/>
  <c r="BW62" i="4" s="1"/>
  <c r="BU62" i="4" s="1" a="1"/>
  <c r="BU62" i="4" s="1"/>
  <c r="BV62" i="4" a="1"/>
  <c r="BV62" i="4" s="1"/>
  <c r="AX106" i="13"/>
  <c r="A205" i="13"/>
  <c r="BV38" i="4" a="1"/>
  <c r="BV38" i="4" s="1"/>
  <c r="BW38" i="4" a="1"/>
  <c r="BW38" i="4" s="1"/>
  <c r="BU38" i="4" s="1" a="1"/>
  <c r="BU38" i="4" s="1"/>
  <c r="AX184" i="13"/>
  <c r="A283" i="13"/>
  <c r="A257" i="13"/>
  <c r="AX158" i="13"/>
  <c r="CS34" i="4"/>
  <c r="CT34" i="4" s="1"/>
  <c r="AX131" i="13"/>
  <c r="A230" i="13"/>
  <c r="BV73" i="4" a="1"/>
  <c r="BV73" i="4" s="1"/>
  <c r="BW73" i="4" a="1"/>
  <c r="BW73" i="4" s="1"/>
  <c r="BU73" i="4" s="1" a="1"/>
  <c r="BU73" i="4" s="1"/>
  <c r="A213" i="13"/>
  <c r="AX114" i="13"/>
  <c r="BW70" i="4" a="1"/>
  <c r="BW70" i="4" s="1"/>
  <c r="BU70" i="4" s="1" a="1"/>
  <c r="BU70" i="4" s="1"/>
  <c r="BV70" i="4" a="1"/>
  <c r="BV70" i="4" s="1"/>
  <c r="E17" i="4"/>
  <c r="BT45" i="4"/>
  <c r="BT43" i="4"/>
  <c r="CQ83" i="4"/>
  <c r="CR83" i="4" s="1"/>
  <c r="CQ31" i="4"/>
  <c r="CR31" i="4" s="1"/>
  <c r="BT22" i="4"/>
  <c r="Q19" i="69"/>
  <c r="CQ41" i="4"/>
  <c r="CR41" i="4" s="1"/>
  <c r="G65" i="4"/>
  <c r="BL65" i="4"/>
  <c r="BT71" i="4"/>
  <c r="BT38" i="4"/>
  <c r="BL47" i="4"/>
  <c r="G47" i="4"/>
  <c r="V70" i="22" s="1"/>
  <c r="CQ33" i="4"/>
  <c r="CR33" i="4" s="1"/>
  <c r="G16" i="4"/>
  <c r="BL16" i="4"/>
  <c r="Q12" i="69"/>
  <c r="R12" i="69" s="1"/>
  <c r="CQ28" i="4"/>
  <c r="CR28" i="4" s="1"/>
  <c r="G89" i="4"/>
  <c r="AC89" i="69" s="1"/>
  <c r="BL89" i="4"/>
  <c r="BT29" i="4"/>
  <c r="G86" i="4"/>
  <c r="BL86" i="4"/>
  <c r="AY20" i="69"/>
  <c r="BI20" i="69" a="1"/>
  <c r="BI20" i="69" s="1"/>
  <c r="E20" i="69"/>
  <c r="BH20" i="69"/>
  <c r="BJ20" i="69" s="1"/>
  <c r="BM8" i="69"/>
  <c r="BV71" i="4" a="1"/>
  <c r="BV71" i="4" s="1"/>
  <c r="BW71" i="4" a="1"/>
  <c r="BW71" i="4" s="1"/>
  <c r="BU71" i="4" s="1" a="1"/>
  <c r="BU71" i="4" s="1"/>
  <c r="BA7" i="4"/>
  <c r="E8" i="4"/>
  <c r="E78" i="4"/>
  <c r="BV90" i="4" a="1"/>
  <c r="BV90" i="4" s="1"/>
  <c r="BW90" i="4" a="1"/>
  <c r="BW90" i="4" s="1"/>
  <c r="BU90" i="4" s="1" a="1"/>
  <c r="BU90" i="4" s="1"/>
  <c r="E88" i="4"/>
  <c r="BA88" i="4" s="1"/>
  <c r="BQ102" i="4"/>
  <c r="BW12" i="4" a="1"/>
  <c r="BW12" i="4" s="1"/>
  <c r="BU12" i="4" s="1" a="1"/>
  <c r="BU12" i="4" s="1"/>
  <c r="BV12" i="4" a="1"/>
  <c r="BV12" i="4" s="1"/>
  <c r="F58" i="4"/>
  <c r="E69" i="4"/>
  <c r="AX121" i="13"/>
  <c r="A220" i="13"/>
  <c r="CQ84" i="4"/>
  <c r="CR84" i="4" s="1"/>
  <c r="BV91" i="4" a="1"/>
  <c r="BV91" i="4" s="1"/>
  <c r="BW91" i="4" a="1"/>
  <c r="BW91" i="4" s="1"/>
  <c r="BU91" i="4" s="1" a="1"/>
  <c r="BU91" i="4" s="1"/>
  <c r="AX170" i="13"/>
  <c r="A269" i="13"/>
  <c r="E451" i="15"/>
  <c r="E30" i="4"/>
  <c r="CQ45" i="4"/>
  <c r="CR45" i="4" s="1"/>
  <c r="CQ79" i="4"/>
  <c r="CR79" i="4" s="1"/>
  <c r="Q10" i="69"/>
  <c r="BL10" i="4"/>
  <c r="G10" i="4"/>
  <c r="BL93" i="4"/>
  <c r="G93" i="4"/>
  <c r="CQ49" i="4"/>
  <c r="CR49" i="4" s="1"/>
  <c r="BT61" i="4"/>
  <c r="BL50" i="4"/>
  <c r="G50" i="4"/>
  <c r="CQ22" i="4"/>
  <c r="CR22" i="4" s="1"/>
  <c r="BT19" i="4"/>
  <c r="BT26" i="4"/>
  <c r="BT65" i="4"/>
  <c r="CQ53" i="4"/>
  <c r="CR53" i="4" s="1"/>
  <c r="CQ90" i="4"/>
  <c r="CR90" i="4" s="1"/>
  <c r="G11" i="4"/>
  <c r="BL11" i="4"/>
  <c r="BT47" i="4"/>
  <c r="BL88" i="4"/>
  <c r="G88" i="4"/>
  <c r="CQ73" i="4"/>
  <c r="CR73" i="4" s="1"/>
  <c r="CQ70" i="4"/>
  <c r="CR70" i="4" s="1"/>
  <c r="BL17" i="4"/>
  <c r="G17" i="4"/>
  <c r="Q20" i="69"/>
  <c r="BT30" i="4"/>
  <c r="AD21" i="4" a="1"/>
  <c r="AC21" i="4" a="1"/>
  <c r="AG60" i="4" a="1"/>
  <c r="AF60" i="4" a="1"/>
  <c r="AL60" i="4" a="1"/>
  <c r="AK60" i="4" a="1"/>
  <c r="AF21" i="4" a="1"/>
  <c r="AG21" i="4" a="1"/>
  <c r="AL21" i="4" a="1"/>
  <c r="AK21" i="4" a="1"/>
  <c r="Y21" i="4" a="1"/>
  <c r="X21" i="4" a="1"/>
  <c r="Y60" i="4" a="1"/>
  <c r="X60" i="4" a="1"/>
  <c r="AD60" i="4" a="1"/>
  <c r="AC60" i="4" a="1"/>
  <c r="BG55" i="4" a="1"/>
  <c r="AB55" i="4" a="1"/>
  <c r="CF55" i="4" a="1"/>
  <c r="BH55" i="4" a="1"/>
  <c r="CD55" i="4" a="1"/>
  <c r="BK55" i="4" a="1"/>
  <c r="BM55" i="4" a="1"/>
  <c r="BY55" i="4" a="1"/>
  <c r="CE55" i="4" a="1"/>
  <c r="CA55" i="4" a="1"/>
  <c r="BZ55" i="4" a="1"/>
  <c r="CH55" i="4" a="1"/>
  <c r="CJ55" i="4" a="1"/>
  <c r="CI55" i="4" a="1"/>
  <c r="CB55" i="4" a="1"/>
  <c r="AH55" i="4" a="1"/>
  <c r="CG55" i="4" a="1"/>
  <c r="CC55" i="4" a="1"/>
  <c r="Z55" i="4" a="1"/>
  <c r="BF55" i="4" a="1"/>
  <c r="CP55" i="4"/>
  <c r="CM55" i="4"/>
  <c r="AJ55" i="4" a="1"/>
  <c r="BG60" i="4" a="1"/>
  <c r="BF60" i="4" a="1"/>
  <c r="BH60" i="4" a="1"/>
  <c r="CN55" i="4" a="1"/>
  <c r="CO55" i="4" a="1"/>
  <c r="CL55" i="4" a="1"/>
  <c r="CK55" i="4" a="1"/>
  <c r="I226" i="15" l="1" a="1"/>
  <c r="I226" i="15" s="1"/>
  <c r="H226" i="15" a="1"/>
  <c r="H226" i="15" s="1"/>
  <c r="AN4" i="69" a="1"/>
  <c r="AN4" i="69" s="1"/>
  <c r="T40" i="69"/>
  <c r="AT36" i="69"/>
  <c r="BK36" i="69" s="1"/>
  <c r="AR4" i="69" a="1"/>
  <c r="AR4" i="69" s="1"/>
  <c r="V59" i="69"/>
  <c r="AC81" i="69"/>
  <c r="G36" i="69"/>
  <c r="G42" i="69"/>
  <c r="T46" i="69"/>
  <c r="AL4" i="69" a="1"/>
  <c r="AL4" i="69" s="1"/>
  <c r="T59" i="69"/>
  <c r="BC73" i="4"/>
  <c r="AU61" i="69"/>
  <c r="W78" i="69"/>
  <c r="BI78" i="69" s="1" a="1"/>
  <c r="BI78" i="69" s="1"/>
  <c r="T58" i="69"/>
  <c r="JR12" i="18" a="1"/>
  <c r="JR12" i="18" s="1"/>
  <c r="JU10" i="18" a="1"/>
  <c r="JU10" i="18" s="1"/>
  <c r="AS4" i="69" a="1"/>
  <c r="AS4" i="69" s="1"/>
  <c r="BC42" i="4"/>
  <c r="E434" i="15"/>
  <c r="BC65" i="4"/>
  <c r="BC34" i="4"/>
  <c r="BE18" i="69" a="1"/>
  <c r="BE18" i="69" s="1"/>
  <c r="M20" i="69"/>
  <c r="BC57" i="4"/>
  <c r="G27" i="69"/>
  <c r="AM4" i="69" a="1"/>
  <c r="AM4" i="69" s="1"/>
  <c r="G4" i="69"/>
  <c r="AI4" i="69" a="1"/>
  <c r="AI4" i="69" s="1"/>
  <c r="AP96" i="4"/>
  <c r="Q93" i="69"/>
  <c r="BD65" i="4"/>
  <c r="AV1156" i="13" s="1"/>
  <c r="AT32" i="69"/>
  <c r="AT52" i="69"/>
  <c r="AT51" i="69"/>
  <c r="BK51" i="69" s="1"/>
  <c r="C19" i="27"/>
  <c r="I30" i="27"/>
  <c r="I26" i="27"/>
  <c r="I29" i="27"/>
  <c r="I25" i="27"/>
  <c r="I28" i="27"/>
  <c r="I27" i="27"/>
  <c r="I24" i="27"/>
  <c r="I23" i="27"/>
  <c r="F308" i="15" a="1"/>
  <c r="F308" i="15" s="1"/>
  <c r="F275" i="15" a="1"/>
  <c r="F275" i="15" s="1"/>
  <c r="F238" i="15" a="1"/>
  <c r="F238" i="15" s="1"/>
  <c r="F228" i="15" a="1"/>
  <c r="F228" i="15" s="1"/>
  <c r="F444" i="15" a="1"/>
  <c r="F444" i="15" s="1"/>
  <c r="F269" i="15" a="1"/>
  <c r="F269" i="15" s="1"/>
  <c r="H269" i="15" s="1" a="1"/>
  <c r="H269" i="15" s="1"/>
  <c r="AB55" i="69" a="1"/>
  <c r="AB55" i="69" s="1"/>
  <c r="P65" i="69"/>
  <c r="H19" i="7" a="1"/>
  <c r="H19" i="7" s="1"/>
  <c r="BC50" i="4"/>
  <c r="AT54" i="69"/>
  <c r="BK54" i="69" s="1"/>
  <c r="BC35" i="4"/>
  <c r="BC37" i="4"/>
  <c r="AJ85" i="69"/>
  <c r="F43" i="15" a="1"/>
  <c r="F43" i="15" s="1"/>
  <c r="A78" i="69"/>
  <c r="AT49" i="69"/>
  <c r="BK49" i="69" s="1"/>
  <c r="G50" i="69"/>
  <c r="G48" i="69"/>
  <c r="E3" i="1" a="1"/>
  <c r="E3" i="1" s="1"/>
  <c r="E98" i="1" s="1"/>
  <c r="AT72" i="69"/>
  <c r="G80" i="69"/>
  <c r="AI29" i="4"/>
  <c r="I29" i="69" s="1"/>
  <c r="G32" i="69"/>
  <c r="G25" i="69"/>
  <c r="G38" i="69"/>
  <c r="AT46" i="69"/>
  <c r="G24" i="69"/>
  <c r="AT27" i="69"/>
  <c r="AT91" i="69"/>
  <c r="AT50" i="69"/>
  <c r="BK50" i="69" s="1"/>
  <c r="G45" i="69"/>
  <c r="AI89" i="4"/>
  <c r="I89" i="69" s="1"/>
  <c r="G54" i="69"/>
  <c r="AT48" i="69"/>
  <c r="M41" i="69"/>
  <c r="T41" i="69"/>
  <c r="G37" i="69"/>
  <c r="P88" i="69"/>
  <c r="J534" i="15"/>
  <c r="G62" i="69"/>
  <c r="J488" i="15"/>
  <c r="P92" i="69"/>
  <c r="KA21" i="18" a="1"/>
  <c r="KA21" i="18" s="1"/>
  <c r="J483" i="15"/>
  <c r="AU78" i="69"/>
  <c r="AB63" i="69" a="1"/>
  <c r="AB63" i="69" s="1"/>
  <c r="T63" i="69"/>
  <c r="M55" i="69"/>
  <c r="T71" i="69"/>
  <c r="M93" i="69"/>
  <c r="G92" i="69"/>
  <c r="M68" i="69"/>
  <c r="AJ62" i="69"/>
  <c r="JU27" i="18" a="1"/>
  <c r="JU27" i="18" s="1"/>
  <c r="W75" i="69"/>
  <c r="AY75" i="69" s="1"/>
  <c r="JR9" i="18" a="1"/>
  <c r="JR9" i="18" s="1"/>
  <c r="Q72" i="69"/>
  <c r="J65" i="69"/>
  <c r="G68" i="69"/>
  <c r="AC75" i="69"/>
  <c r="E281" i="15"/>
  <c r="AB72" i="69" a="1"/>
  <c r="AB72" i="69" s="1"/>
  <c r="JR23" i="18" a="1"/>
  <c r="JR23" i="18" s="1"/>
  <c r="E146" i="15"/>
  <c r="P94" i="69"/>
  <c r="M57" i="14" a="1"/>
  <c r="M57" i="14" s="1"/>
  <c r="Q59" i="69"/>
  <c r="Z58" i="23" a="1"/>
  <c r="Z58" i="23" s="1"/>
  <c r="Z36" i="23" s="1"/>
  <c r="J76" i="69"/>
  <c r="E412" i="15"/>
  <c r="T61" i="69"/>
  <c r="N80" i="69" a="1"/>
  <c r="N80" i="69" s="1"/>
  <c r="T75" i="69"/>
  <c r="J69" i="69"/>
  <c r="T16" i="27" a="1"/>
  <c r="T16" i="27" s="1"/>
  <c r="N72" i="69" a="1"/>
  <c r="N72" i="69" s="1"/>
  <c r="E403" i="15"/>
  <c r="F403" i="15" s="1" a="1"/>
  <c r="F403" i="15" s="1"/>
  <c r="AK71" i="69"/>
  <c r="E240" i="15"/>
  <c r="F240" i="15" s="1" a="1"/>
  <c r="F240" i="15" s="1"/>
  <c r="E152" i="15"/>
  <c r="J495" i="15"/>
  <c r="AC77" i="69"/>
  <c r="AK70" i="69"/>
  <c r="E303" i="15"/>
  <c r="AJ70" i="69"/>
  <c r="V60" i="69"/>
  <c r="AB64" i="69" a="1"/>
  <c r="AB64" i="69" s="1"/>
  <c r="O56" i="23" a="1"/>
  <c r="O56" i="23" s="1"/>
  <c r="E483" i="15"/>
  <c r="F483" i="15" s="1" a="1"/>
  <c r="F483" i="15" s="1"/>
  <c r="E197" i="15"/>
  <c r="T79" i="69"/>
  <c r="JX25" i="18" a="1"/>
  <c r="JX25" i="18" s="1"/>
  <c r="I11" i="7" a="1"/>
  <c r="I11" i="7" s="1"/>
  <c r="J546" i="15"/>
  <c r="E94" i="15"/>
  <c r="E315" i="15"/>
  <c r="J498" i="15"/>
  <c r="H17" i="7" a="1"/>
  <c r="H17" i="7" s="1"/>
  <c r="AK77" i="69"/>
  <c r="H12" i="7" a="1"/>
  <c r="H12" i="7" s="1"/>
  <c r="AK65" i="69"/>
  <c r="KA26" i="18" a="1"/>
  <c r="KA26" i="18" s="1"/>
  <c r="A70" i="69"/>
  <c r="P76" i="69"/>
  <c r="V94" i="69"/>
  <c r="B94" i="69" s="1"/>
  <c r="JU8" i="18" a="1"/>
  <c r="JU8" i="18" s="1"/>
  <c r="W69" i="69"/>
  <c r="J536" i="15"/>
  <c r="Q89" i="69"/>
  <c r="M58" i="69"/>
  <c r="Q65" i="69"/>
  <c r="V55" i="69"/>
  <c r="AT80" i="69"/>
  <c r="JU15" i="18" a="1"/>
  <c r="JU15" i="18" s="1"/>
  <c r="E342" i="15"/>
  <c r="KA33" i="18" a="1"/>
  <c r="KA33" i="18" s="1"/>
  <c r="V92" i="69"/>
  <c r="G52" i="69"/>
  <c r="P89" i="69"/>
  <c r="E192" i="15"/>
  <c r="AU58" i="69"/>
  <c r="AU89" i="69"/>
  <c r="V78" i="69"/>
  <c r="M59" i="69"/>
  <c r="T59" i="14" a="1"/>
  <c r="T59" i="14" s="1"/>
  <c r="Y91" i="69"/>
  <c r="G72" i="69"/>
  <c r="G56" i="69"/>
  <c r="J512" i="15"/>
  <c r="AT62" i="69"/>
  <c r="V57" i="14" a="1"/>
  <c r="V57" i="14" s="1"/>
  <c r="E81" i="15"/>
  <c r="AT71" i="69"/>
  <c r="L94" i="69"/>
  <c r="AK79" i="69"/>
  <c r="J555" i="15"/>
  <c r="A73" i="69"/>
  <c r="G81" i="69"/>
  <c r="Y81" i="69"/>
  <c r="Y87" i="69"/>
  <c r="N69" i="69" a="1"/>
  <c r="N69" i="69" s="1"/>
  <c r="E222" i="15"/>
  <c r="G93" i="69"/>
  <c r="E214" i="15"/>
  <c r="E329" i="15"/>
  <c r="JR22" i="18" a="1"/>
  <c r="JR22" i="18" s="1"/>
  <c r="KA10" i="18" a="1"/>
  <c r="KA10" i="18" s="1"/>
  <c r="V80" i="69"/>
  <c r="JX10" i="18" a="1"/>
  <c r="JX10" i="18" s="1"/>
  <c r="J547" i="15"/>
  <c r="JU33" i="18" a="1"/>
  <c r="JU33" i="18" s="1"/>
  <c r="M62" i="69"/>
  <c r="J552" i="15"/>
  <c r="Q86" i="69"/>
  <c r="AU63" i="69"/>
  <c r="M86" i="69"/>
  <c r="AJ87" i="69"/>
  <c r="Y61" i="69"/>
  <c r="F57" i="23" a="1"/>
  <c r="F57" i="23" s="1"/>
  <c r="T86" i="69"/>
  <c r="P75" i="69"/>
  <c r="AK69" i="69"/>
  <c r="JR14" i="18" a="1"/>
  <c r="JR14" i="18" s="1"/>
  <c r="AT82" i="69"/>
  <c r="AK84" i="69"/>
  <c r="J63" i="69"/>
  <c r="BC62" i="4"/>
  <c r="AJ86" i="69"/>
  <c r="AJ77" i="69"/>
  <c r="P78" i="69"/>
  <c r="P73" i="69"/>
  <c r="AU56" i="69"/>
  <c r="J548" i="15"/>
  <c r="E198" i="15"/>
  <c r="I11" i="15" a="1"/>
  <c r="I11" i="15" s="1"/>
  <c r="AJ71" i="69"/>
  <c r="AJ81" i="69"/>
  <c r="AT76" i="69"/>
  <c r="AU94" i="69"/>
  <c r="N84" i="69" a="1"/>
  <c r="N84" i="69" s="1"/>
  <c r="W71" i="69"/>
  <c r="A81" i="69"/>
  <c r="E189" i="15"/>
  <c r="J516" i="15"/>
  <c r="JR16" i="18" a="1"/>
  <c r="JR16" i="18" s="1"/>
  <c r="AJ61" i="69"/>
  <c r="F473" i="15" a="1"/>
  <c r="F473" i="15" s="1"/>
  <c r="AJ91" i="69"/>
  <c r="AJ57" i="69"/>
  <c r="AJ72" i="69"/>
  <c r="AJ90" i="69"/>
  <c r="AJ84" i="69"/>
  <c r="JR13" i="18" a="1"/>
  <c r="JR13" i="18" s="1"/>
  <c r="AB91" i="69" a="1"/>
  <c r="AB91" i="69" s="1"/>
  <c r="P85" i="69"/>
  <c r="E60" i="4"/>
  <c r="BA60" i="4" s="1"/>
  <c r="AJ92" i="69"/>
  <c r="G76" i="69"/>
  <c r="JX8" i="18" a="1"/>
  <c r="JX8" i="18" s="1"/>
  <c r="Q79" i="69"/>
  <c r="P70" i="69"/>
  <c r="AJ76" i="69"/>
  <c r="JX9" i="18" a="1"/>
  <c r="JX9" i="18" s="1"/>
  <c r="M63" i="69"/>
  <c r="V76" i="69"/>
  <c r="Y59" i="69"/>
  <c r="F260" i="15" a="1"/>
  <c r="F260" i="15" s="1"/>
  <c r="P77" i="69"/>
  <c r="G74" i="69"/>
  <c r="G26" i="69"/>
  <c r="AT59" i="69"/>
  <c r="G59" i="69"/>
  <c r="AT26" i="69"/>
  <c r="BK26" i="69" s="1"/>
  <c r="G40" i="69"/>
  <c r="AT40" i="69"/>
  <c r="AW40" i="69" s="1"/>
  <c r="G78" i="69"/>
  <c r="AT63" i="69"/>
  <c r="AT39" i="69"/>
  <c r="AW39" i="69" s="1"/>
  <c r="G30" i="69"/>
  <c r="T2" i="14"/>
  <c r="AT89" i="69"/>
  <c r="G89" i="69"/>
  <c r="G39" i="69"/>
  <c r="AT74" i="69"/>
  <c r="G65" i="69"/>
  <c r="AI83" i="4"/>
  <c r="I83" i="69" s="1"/>
  <c r="AI70" i="4"/>
  <c r="I70" i="69" s="1"/>
  <c r="AI44" i="4"/>
  <c r="I44" i="69" s="1"/>
  <c r="AI33" i="4"/>
  <c r="I33" i="69" s="1"/>
  <c r="AI81" i="4"/>
  <c r="I81" i="69" s="1"/>
  <c r="G22" i="69"/>
  <c r="AT38" i="69"/>
  <c r="BK38" i="69" s="1"/>
  <c r="AT37" i="69"/>
  <c r="AW37" i="69" s="1"/>
  <c r="G71" i="69"/>
  <c r="G51" i="69"/>
  <c r="G87" i="69"/>
  <c r="AZ34" i="69"/>
  <c r="AT67" i="69"/>
  <c r="AT88" i="69"/>
  <c r="AT25" i="69"/>
  <c r="AW25" i="69" s="1"/>
  <c r="AT28" i="69"/>
  <c r="AW28" i="69" s="1"/>
  <c r="G53" i="69"/>
  <c r="G49" i="69"/>
  <c r="BT21" i="4"/>
  <c r="AT23" i="69"/>
  <c r="AT47" i="69"/>
  <c r="BK47" i="69" s="1"/>
  <c r="G91" i="69"/>
  <c r="CS60" i="4"/>
  <c r="CT60" i="4" s="1"/>
  <c r="AZ49" i="69"/>
  <c r="G43" i="69"/>
  <c r="G70" i="69"/>
  <c r="G47" i="69"/>
  <c r="G28" i="69"/>
  <c r="AT30" i="69"/>
  <c r="BK30" i="69" s="1"/>
  <c r="BL6" i="69"/>
  <c r="G90" i="69"/>
  <c r="AI39" i="4"/>
  <c r="I39" i="69" s="1"/>
  <c r="AZ29" i="69"/>
  <c r="AT77" i="69"/>
  <c r="AI40" i="4"/>
  <c r="I40" i="69" s="1"/>
  <c r="AI86" i="4"/>
  <c r="I86" i="69" s="1"/>
  <c r="BQ71" i="4"/>
  <c r="AT85" i="69"/>
  <c r="BL4" i="69"/>
  <c r="G46" i="69"/>
  <c r="G29" i="69"/>
  <c r="AI12" i="4"/>
  <c r="I12" i="69" s="1"/>
  <c r="BL20" i="69"/>
  <c r="AI30" i="4"/>
  <c r="I30" i="69" s="1"/>
  <c r="AI76" i="4"/>
  <c r="I76" i="69" s="1"/>
  <c r="AI17" i="4"/>
  <c r="I17" i="69" s="1"/>
  <c r="AT69" i="69"/>
  <c r="BL50" i="69"/>
  <c r="AI61" i="4"/>
  <c r="I61" i="69" s="1"/>
  <c r="AI62" i="4"/>
  <c r="I62" i="69" s="1"/>
  <c r="BE13" i="69" a="1"/>
  <c r="BE13" i="69" s="1"/>
  <c r="G34" i="69"/>
  <c r="AI5" i="4"/>
  <c r="I5" i="69" s="1"/>
  <c r="AI64" i="4"/>
  <c r="I64" i="69" s="1"/>
  <c r="AI79" i="4"/>
  <c r="I79" i="69" s="1"/>
  <c r="BQ8" i="4"/>
  <c r="BL8" i="69"/>
  <c r="AT43" i="69"/>
  <c r="BM26" i="69"/>
  <c r="BL15" i="69"/>
  <c r="AT86" i="69"/>
  <c r="AZ33" i="69"/>
  <c r="AT41" i="69"/>
  <c r="AT45" i="69"/>
  <c r="AW45" i="69" s="1"/>
  <c r="G41" i="69"/>
  <c r="AT24" i="69"/>
  <c r="BK24" i="69" s="1"/>
  <c r="BT60" i="4"/>
  <c r="AT90" i="69"/>
  <c r="BM33" i="69"/>
  <c r="BM32" i="69"/>
  <c r="BQ78" i="4"/>
  <c r="G23" i="69"/>
  <c r="AQ32" i="69" a="1"/>
  <c r="AQ32" i="69" s="1"/>
  <c r="AI47" i="4"/>
  <c r="I47" i="69" s="1"/>
  <c r="AI16" i="4"/>
  <c r="I16" i="69" s="1"/>
  <c r="AT44" i="69"/>
  <c r="BK44" i="69" s="1"/>
  <c r="V54" i="22"/>
  <c r="G31" i="69"/>
  <c r="BM31" i="69"/>
  <c r="AT31" i="69"/>
  <c r="BK31" i="69" s="1"/>
  <c r="AI34" i="4"/>
  <c r="I34" i="69" s="1"/>
  <c r="AI57" i="4"/>
  <c r="I57" i="69" s="1"/>
  <c r="AZ45" i="69"/>
  <c r="AV118" i="13"/>
  <c r="T17" i="69"/>
  <c r="M17" i="69"/>
  <c r="AX4" i="69"/>
  <c r="G94" i="69"/>
  <c r="AT33" i="69"/>
  <c r="BQ66" i="4"/>
  <c r="BL11" i="69"/>
  <c r="AT35" i="69"/>
  <c r="BE4" i="69" a="1"/>
  <c r="BE4" i="69" s="1"/>
  <c r="AT34" i="69"/>
  <c r="AW34" i="69" s="1"/>
  <c r="AT22" i="69"/>
  <c r="BK22" i="69" s="1"/>
  <c r="AZ22" i="69"/>
  <c r="G35" i="69"/>
  <c r="AV108" i="13"/>
  <c r="M7" i="69"/>
  <c r="T7" i="69"/>
  <c r="BL19" i="69"/>
  <c r="BM53" i="69"/>
  <c r="G44" i="69"/>
  <c r="AI35" i="4"/>
  <c r="I35" i="69" s="1"/>
  <c r="AI49" i="4"/>
  <c r="I49" i="69" s="1"/>
  <c r="BM35" i="69"/>
  <c r="BQ91" i="4"/>
  <c r="G33" i="69"/>
  <c r="AI92" i="4"/>
  <c r="I92" i="69" s="1"/>
  <c r="AI93" i="4"/>
  <c r="I93" i="69" s="1"/>
  <c r="AI52" i="4"/>
  <c r="I52" i="69" s="1"/>
  <c r="AI51" i="4"/>
  <c r="I51" i="69" s="1"/>
  <c r="BL10" i="69"/>
  <c r="AT53" i="69"/>
  <c r="E21" i="4"/>
  <c r="T55" i="69"/>
  <c r="AB73" i="69" a="1"/>
  <c r="AB73" i="69" s="1"/>
  <c r="E293" i="15"/>
  <c r="J70" i="69"/>
  <c r="JR28" i="18" a="1"/>
  <c r="JR28" i="18" s="1"/>
  <c r="J559" i="15"/>
  <c r="U2" i="14"/>
  <c r="F466" i="15" a="1"/>
  <c r="F466" i="15" s="1"/>
  <c r="AI19" i="4"/>
  <c r="I19" i="69" s="1"/>
  <c r="AI37" i="4"/>
  <c r="I37" i="69" s="1"/>
  <c r="BC7" i="4"/>
  <c r="J94" i="69"/>
  <c r="P69" i="69"/>
  <c r="P62" i="69"/>
  <c r="A80" i="69"/>
  <c r="KA15" i="18" a="1"/>
  <c r="KA15" i="18" s="1"/>
  <c r="KA12" i="18" a="1"/>
  <c r="KA12" i="18" s="1"/>
  <c r="A62" i="69"/>
  <c r="H16" i="7" a="1"/>
  <c r="H16" i="7" s="1"/>
  <c r="AI13" i="4"/>
  <c r="I13" i="69" s="1"/>
  <c r="AI50" i="4"/>
  <c r="I50" i="69" s="1"/>
  <c r="AI56" i="4"/>
  <c r="I56" i="69" s="1"/>
  <c r="AI41" i="4"/>
  <c r="I41" i="69" s="1"/>
  <c r="T84" i="69"/>
  <c r="AU74" i="69"/>
  <c r="AK64" i="69"/>
  <c r="Z1582" i="13"/>
  <c r="E448" i="15"/>
  <c r="AI20" i="4"/>
  <c r="I20" i="69" s="1"/>
  <c r="AI46" i="4"/>
  <c r="I46" i="69" s="1"/>
  <c r="AI53" i="4"/>
  <c r="I53" i="69" s="1"/>
  <c r="JR10" i="18" a="1"/>
  <c r="JR10" i="18" s="1"/>
  <c r="E331" i="15"/>
  <c r="BA66" i="4"/>
  <c r="AT84" i="69"/>
  <c r="Z58" i="14" a="1"/>
  <c r="Z58" i="14" s="1"/>
  <c r="JR26" i="18" a="1"/>
  <c r="JR26" i="18" s="1"/>
  <c r="Y88" i="69"/>
  <c r="AB62" i="69" a="1"/>
  <c r="AB62" i="69" s="1"/>
  <c r="S58" i="23" a="1"/>
  <c r="S58" i="23" s="1"/>
  <c r="S36" i="23" s="1"/>
  <c r="V87" i="69"/>
  <c r="G200" i="13" a="1"/>
  <c r="G200" i="13" s="1"/>
  <c r="AI75" i="4"/>
  <c r="I75" i="69" s="1"/>
  <c r="AI78" i="4"/>
  <c r="I78" i="69" s="1"/>
  <c r="AI26" i="4"/>
  <c r="I26" i="69" s="1"/>
  <c r="Q95" i="69"/>
  <c r="W56" i="23" a="1"/>
  <c r="W56" i="23" s="1"/>
  <c r="E349" i="15"/>
  <c r="BQ90" i="4"/>
  <c r="BQ33" i="4"/>
  <c r="AJ83" i="69"/>
  <c r="AJ75" i="69"/>
  <c r="AT92" i="69"/>
  <c r="AJ74" i="69"/>
  <c r="E327" i="15"/>
  <c r="F327" i="15" s="1" a="1"/>
  <c r="F327" i="15" s="1"/>
  <c r="W73" i="69"/>
  <c r="BI73" i="69" s="1" a="1"/>
  <c r="BI73" i="69" s="1"/>
  <c r="AK58" i="69"/>
  <c r="U57" i="14" a="1"/>
  <c r="U57" i="14" s="1"/>
  <c r="AT56" i="69"/>
  <c r="Q84" i="69"/>
  <c r="BM44" i="69"/>
  <c r="BM48" i="69"/>
  <c r="AI32" i="4"/>
  <c r="I32" i="69" s="1"/>
  <c r="CK55" i="4"/>
  <c r="CL55" i="4"/>
  <c r="CO55" i="4"/>
  <c r="CN55" i="4"/>
  <c r="BH60" i="4"/>
  <c r="BF60" i="4"/>
  <c r="BG60" i="4"/>
  <c r="AJ55" i="4"/>
  <c r="CP96" i="4"/>
  <c r="BF55" i="4"/>
  <c r="Z55" i="4"/>
  <c r="CC55" i="4"/>
  <c r="CG55" i="4"/>
  <c r="AH55" i="4"/>
  <c r="CB55" i="4"/>
  <c r="CI55" i="4"/>
  <c r="CJ55" i="4"/>
  <c r="CH55" i="4"/>
  <c r="BZ55" i="4"/>
  <c r="CA55" i="4"/>
  <c r="F46" i="14" s="1"/>
  <c r="P46" i="14" s="1"/>
  <c r="Z46" i="14" s="1"/>
  <c r="CE55" i="4"/>
  <c r="BY55" i="4"/>
  <c r="BM55" i="4"/>
  <c r="BM96" i="4" s="1"/>
  <c r="BK55" i="4"/>
  <c r="CD55" i="4"/>
  <c r="BH55" i="4"/>
  <c r="CF55" i="4"/>
  <c r="AB55" i="4"/>
  <c r="BG55" i="4"/>
  <c r="AC60" i="4"/>
  <c r="AD60" i="4"/>
  <c r="X60" i="4"/>
  <c r="CX60" i="4" s="1"/>
  <c r="AJ60" i="69" s="1"/>
  <c r="Y60" i="4"/>
  <c r="X21" i="4"/>
  <c r="CX21" i="4" s="1"/>
  <c r="AJ21" i="69" s="1"/>
  <c r="Y21" i="4"/>
  <c r="AK21" i="4"/>
  <c r="AL21" i="4"/>
  <c r="AG21" i="4"/>
  <c r="AF21" i="4"/>
  <c r="AK60" i="4"/>
  <c r="AL60" i="4"/>
  <c r="AF60" i="4"/>
  <c r="AG60" i="4"/>
  <c r="AC21" i="4"/>
  <c r="AD21" i="4"/>
  <c r="H376" i="15" a="1"/>
  <c r="H376" i="15" s="1"/>
  <c r="I376" i="15" a="1"/>
  <c r="I376" i="15" s="1"/>
  <c r="BI67" i="69" a="1"/>
  <c r="BI67" i="69" s="1"/>
  <c r="BH67" i="69"/>
  <c r="BJ67" i="69" s="1"/>
  <c r="AY67" i="69"/>
  <c r="AV82" i="13"/>
  <c r="AV80" i="4"/>
  <c r="F80" i="4"/>
  <c r="AT80" i="4"/>
  <c r="Z1369" i="13"/>
  <c r="J80" i="4"/>
  <c r="BX80" i="4" s="1"/>
  <c r="AM80" i="4"/>
  <c r="AV379" i="13" s="1"/>
  <c r="AV478" i="13" s="1"/>
  <c r="CS80" i="4"/>
  <c r="CT80" i="4" s="1"/>
  <c r="CW80" i="4" a="1"/>
  <c r="CW80" i="4" s="1"/>
  <c r="AV39" i="4"/>
  <c r="AT39" i="4"/>
  <c r="J39" i="4"/>
  <c r="BX39" i="4" s="1"/>
  <c r="F39" i="4"/>
  <c r="AV41" i="13"/>
  <c r="Z1328" i="13"/>
  <c r="AM39" i="4"/>
  <c r="AV338" i="13" s="1"/>
  <c r="AV437" i="13" s="1"/>
  <c r="CW39" i="4" a="1"/>
  <c r="CW39" i="4" s="1"/>
  <c r="CS39" i="4"/>
  <c r="CT39" i="4" s="1"/>
  <c r="V57" i="22"/>
  <c r="AZ39" i="69"/>
  <c r="V60" i="22"/>
  <c r="Z1330" i="13"/>
  <c r="AT41" i="4"/>
  <c r="J41" i="4"/>
  <c r="AV41" i="4"/>
  <c r="F41" i="4"/>
  <c r="AV43" i="13"/>
  <c r="AM41" i="4"/>
  <c r="AV340" i="13" s="1"/>
  <c r="AV439" i="13" s="1"/>
  <c r="CW41" i="4" a="1"/>
  <c r="CW41" i="4" s="1"/>
  <c r="AC41" i="69"/>
  <c r="Z1307" i="13"/>
  <c r="AV20" i="13"/>
  <c r="AV18" i="4"/>
  <c r="J18" i="4"/>
  <c r="BX18" i="4" s="1"/>
  <c r="AT18" i="4"/>
  <c r="F18" i="4"/>
  <c r="AM18" i="4"/>
  <c r="AV317" i="13" s="1"/>
  <c r="AV416" i="13" s="1"/>
  <c r="V27" i="22"/>
  <c r="AC18" i="69"/>
  <c r="AZ18" i="69"/>
  <c r="CW18" i="4" a="1"/>
  <c r="CW18" i="4" s="1"/>
  <c r="W27" i="22"/>
  <c r="Y27" i="22" s="1"/>
  <c r="J64" i="4"/>
  <c r="BX64" i="4" s="1"/>
  <c r="AT64" i="4"/>
  <c r="Z1353" i="13"/>
  <c r="AV64" i="4"/>
  <c r="F64" i="4"/>
  <c r="AV66" i="13"/>
  <c r="AM64" i="4"/>
  <c r="AV363" i="13" s="1"/>
  <c r="AV462" i="13" s="1"/>
  <c r="CW64" i="4" a="1"/>
  <c r="CW64" i="4" s="1"/>
  <c r="AT46" i="4"/>
  <c r="Z1335" i="13"/>
  <c r="AV46" i="4"/>
  <c r="J46" i="4"/>
  <c r="AV48" i="13"/>
  <c r="F46" i="4"/>
  <c r="AM46" i="4"/>
  <c r="AV345" i="13" s="1"/>
  <c r="AV444" i="13" s="1"/>
  <c r="CW46" i="4" a="1"/>
  <c r="CW46" i="4" s="1"/>
  <c r="AC46" i="69"/>
  <c r="AX238" i="13"/>
  <c r="A337" i="13"/>
  <c r="AT26" i="4"/>
  <c r="Z1315" i="13"/>
  <c r="J26" i="4"/>
  <c r="BX26" i="4" s="1"/>
  <c r="F26" i="4"/>
  <c r="AV28" i="13"/>
  <c r="AV26" i="4"/>
  <c r="AM26" i="4"/>
  <c r="AV325" i="13" s="1"/>
  <c r="AV424" i="13" s="1"/>
  <c r="CS26" i="4"/>
  <c r="CT26" i="4" s="1"/>
  <c r="CW26" i="4" a="1"/>
  <c r="CW26" i="4" s="1"/>
  <c r="AZ26" i="69"/>
  <c r="AC26" i="69"/>
  <c r="BA74" i="4"/>
  <c r="BQ74" i="4"/>
  <c r="AC32" i="69"/>
  <c r="BQ9" i="4"/>
  <c r="AZ43" i="69"/>
  <c r="AN4" i="4"/>
  <c r="AO4" i="4"/>
  <c r="W56" i="22"/>
  <c r="Y56" i="22" s="1"/>
  <c r="AC22" i="69"/>
  <c r="AX271" i="13"/>
  <c r="A370" i="13"/>
  <c r="AZ51" i="69"/>
  <c r="Q58" i="69"/>
  <c r="I12" i="15" a="1"/>
  <c r="I12" i="15" s="1"/>
  <c r="JR15" i="18" a="1"/>
  <c r="JR15" i="18" s="1"/>
  <c r="BM36" i="69"/>
  <c r="A67" i="69"/>
  <c r="AZ67" i="69" s="1"/>
  <c r="Q63" i="69"/>
  <c r="Q66" i="69"/>
  <c r="J569" i="15"/>
  <c r="W70" i="69"/>
  <c r="N56" i="69" a="1"/>
  <c r="N56" i="69" s="1"/>
  <c r="G77" i="69"/>
  <c r="AC38" i="69"/>
  <c r="AJ63" i="69"/>
  <c r="A83" i="69"/>
  <c r="AB93" i="69" a="1"/>
  <c r="AB93" i="69" s="1"/>
  <c r="JU22" i="18" a="1"/>
  <c r="JU22" i="18" s="1"/>
  <c r="F88" i="4"/>
  <c r="BO88" i="4" s="1"/>
  <c r="O88" i="69" s="1"/>
  <c r="Z1377" i="13"/>
  <c r="AV90" i="13"/>
  <c r="J88" i="4"/>
  <c r="BX88" i="4" s="1"/>
  <c r="AT88" i="4"/>
  <c r="AV88" i="4"/>
  <c r="AM88" i="4"/>
  <c r="AV387" i="13" s="1"/>
  <c r="AV486" i="13" s="1"/>
  <c r="CW88" i="4" a="1"/>
  <c r="CW88" i="4" s="1"/>
  <c r="AX285" i="13"/>
  <c r="A384" i="13"/>
  <c r="BA24" i="4"/>
  <c r="BQ24" i="4"/>
  <c r="AT11" i="4"/>
  <c r="J11" i="4"/>
  <c r="BX11" i="4" s="1"/>
  <c r="AV13" i="13"/>
  <c r="AV11" i="4"/>
  <c r="Z1300" i="13"/>
  <c r="F11" i="4"/>
  <c r="AM11" i="4"/>
  <c r="AV310" i="13" s="1"/>
  <c r="AV409" i="13" s="1"/>
  <c r="CW11" i="4" a="1"/>
  <c r="CW11" i="4" s="1"/>
  <c r="W21" i="22"/>
  <c r="Y21" i="22" s="1"/>
  <c r="V21" i="22"/>
  <c r="AC11" i="69"/>
  <c r="AZ11" i="69"/>
  <c r="A356" i="13"/>
  <c r="AX257" i="13"/>
  <c r="Z1306" i="13"/>
  <c r="AV17" i="4"/>
  <c r="AV19" i="13"/>
  <c r="F17" i="4"/>
  <c r="J17" i="4"/>
  <c r="BX17" i="4" s="1"/>
  <c r="AT17" i="4"/>
  <c r="AM17" i="4"/>
  <c r="AV316" i="13" s="1"/>
  <c r="AV415" i="13" s="1"/>
  <c r="CW17" i="4" a="1"/>
  <c r="CW17" i="4" s="1"/>
  <c r="CS17" i="4"/>
  <c r="CT17" i="4" s="1"/>
  <c r="V26" i="22"/>
  <c r="AZ17" i="69"/>
  <c r="AC17" i="69"/>
  <c r="W26" i="22"/>
  <c r="Y26" i="22" s="1"/>
  <c r="BA69" i="4"/>
  <c r="BQ69" i="4"/>
  <c r="AV65" i="4"/>
  <c r="AV67" i="13"/>
  <c r="Z1354" i="13"/>
  <c r="F65" i="4"/>
  <c r="AT65" i="4"/>
  <c r="J65" i="4"/>
  <c r="AM65" i="4"/>
  <c r="AV364" i="13" s="1"/>
  <c r="AV463" i="13" s="1"/>
  <c r="CW65" i="4" a="1"/>
  <c r="CW65" i="4" s="1"/>
  <c r="A365" i="13"/>
  <c r="AX266" i="13"/>
  <c r="A304" i="13"/>
  <c r="AX205" i="13"/>
  <c r="BQ18" i="4"/>
  <c r="BQ47" i="4"/>
  <c r="BQ11" i="4"/>
  <c r="BM5" i="69"/>
  <c r="AV14" i="13"/>
  <c r="AV12" i="4"/>
  <c r="AT12" i="4"/>
  <c r="F12" i="4"/>
  <c r="Z1301" i="13"/>
  <c r="J12" i="4"/>
  <c r="BX12" i="4" s="1"/>
  <c r="AM12" i="4"/>
  <c r="AV311" i="13" s="1"/>
  <c r="AV410" i="13" s="1"/>
  <c r="AZ12" i="69"/>
  <c r="W24" i="22"/>
  <c r="Y24" i="22" s="1"/>
  <c r="V24" i="22"/>
  <c r="CS12" i="4"/>
  <c r="CT12" i="4" s="1"/>
  <c r="AC12" i="69"/>
  <c r="CW12" i="4" a="1"/>
  <c r="CW12" i="4" s="1"/>
  <c r="AX261" i="13"/>
  <c r="A360" i="13"/>
  <c r="AV19" i="69"/>
  <c r="BM13" i="69"/>
  <c r="BK29" i="69"/>
  <c r="AW29" i="69"/>
  <c r="A383" i="13"/>
  <c r="AX284" i="13"/>
  <c r="AZ35" i="69"/>
  <c r="AC64" i="69"/>
  <c r="AZ44" i="69"/>
  <c r="A349" i="13"/>
  <c r="AX250" i="13"/>
  <c r="BQ14" i="4"/>
  <c r="AX235" i="13"/>
  <c r="A334" i="13"/>
  <c r="AX270" i="13"/>
  <c r="A369" i="13"/>
  <c r="BQ49" i="4"/>
  <c r="I269" i="15" a="1"/>
  <c r="I269" i="15" s="1"/>
  <c r="BQ48" i="4"/>
  <c r="J500" i="15"/>
  <c r="A89" i="69"/>
  <c r="E244" i="15"/>
  <c r="F242" i="15" s="1" a="1"/>
  <c r="F242" i="15" s="1"/>
  <c r="E263" i="15"/>
  <c r="AT68" i="69"/>
  <c r="AB88" i="69" a="1"/>
  <c r="AB88" i="69" s="1"/>
  <c r="R56" i="14" a="1"/>
  <c r="R56" i="14" s="1"/>
  <c r="J507" i="15"/>
  <c r="E131" i="15"/>
  <c r="J518" i="15"/>
  <c r="AB66" i="69" a="1"/>
  <c r="AB66" i="69" s="1"/>
  <c r="N70" i="69" a="1"/>
  <c r="N70" i="69" s="1"/>
  <c r="AU71" i="69"/>
  <c r="J504" i="15"/>
  <c r="Y58" i="69"/>
  <c r="E328" i="15"/>
  <c r="N79" i="69" a="1"/>
  <c r="N79" i="69" s="1"/>
  <c r="AX213" i="13"/>
  <c r="A312" i="13"/>
  <c r="BI58" i="4"/>
  <c r="AV555" i="13"/>
  <c r="BE58" i="4"/>
  <c r="Z1378" i="13"/>
  <c r="AT89" i="4"/>
  <c r="AV91" i="13"/>
  <c r="F89" i="4"/>
  <c r="AV89" i="4"/>
  <c r="J89" i="4"/>
  <c r="AM89" i="4"/>
  <c r="AV388" i="13" s="1"/>
  <c r="AV487" i="13" s="1"/>
  <c r="CS89" i="4"/>
  <c r="CT89" i="4" s="1"/>
  <c r="CW89" i="4" a="1"/>
  <c r="CW89" i="4" s="1"/>
  <c r="J8" i="4"/>
  <c r="AV10" i="13"/>
  <c r="Z1297" i="13"/>
  <c r="AV8" i="4"/>
  <c r="AT8" i="4"/>
  <c r="F8" i="4"/>
  <c r="AM8" i="4"/>
  <c r="AV307" i="13" s="1"/>
  <c r="AV406" i="13" s="1"/>
  <c r="CS8" i="4"/>
  <c r="CT8" i="4" s="1"/>
  <c r="CW8" i="4" a="1"/>
  <c r="CW8" i="4" s="1"/>
  <c r="W18" i="22"/>
  <c r="Y18" i="22" s="1"/>
  <c r="V18" i="22"/>
  <c r="AZ8" i="69"/>
  <c r="AC8" i="69"/>
  <c r="A332" i="13"/>
  <c r="AX233" i="13"/>
  <c r="BA29" i="4"/>
  <c r="BQ29" i="4"/>
  <c r="A362" i="13"/>
  <c r="AX263" i="13"/>
  <c r="BA30" i="4"/>
  <c r="BQ30" i="4"/>
  <c r="BM19" i="69"/>
  <c r="J76" i="4"/>
  <c r="F76" i="4"/>
  <c r="AV76" i="4"/>
  <c r="AV78" i="13"/>
  <c r="Z1365" i="13"/>
  <c r="AT76" i="4"/>
  <c r="AM76" i="4"/>
  <c r="AV375" i="13" s="1"/>
  <c r="AV474" i="13" s="1"/>
  <c r="CW76" i="4" a="1"/>
  <c r="CW76" i="4" s="1"/>
  <c r="AV74" i="13"/>
  <c r="J72" i="4"/>
  <c r="F72" i="4"/>
  <c r="AV72" i="4"/>
  <c r="AT72" i="4"/>
  <c r="Z1361" i="13"/>
  <c r="AM72" i="4"/>
  <c r="AV371" i="13" s="1"/>
  <c r="AV470" i="13" s="1"/>
  <c r="CS72" i="4"/>
  <c r="CT72" i="4" s="1"/>
  <c r="CW72" i="4" a="1"/>
  <c r="CW72" i="4" s="1"/>
  <c r="A654" i="13"/>
  <c r="AX555" i="13"/>
  <c r="AV32" i="13"/>
  <c r="AT30" i="4"/>
  <c r="Z1319" i="13"/>
  <c r="F30" i="4"/>
  <c r="AV30" i="4"/>
  <c r="J30" i="4"/>
  <c r="AM30" i="4"/>
  <c r="AV329" i="13" s="1"/>
  <c r="AV428" i="13" s="1"/>
  <c r="CW30" i="4" a="1"/>
  <c r="CW30" i="4" s="1"/>
  <c r="CS30" i="4"/>
  <c r="CT30" i="4" s="1"/>
  <c r="AZ30" i="69"/>
  <c r="V45" i="22"/>
  <c r="AT90" i="4"/>
  <c r="F90" i="4"/>
  <c r="AV90" i="4"/>
  <c r="Z1379" i="13"/>
  <c r="AV92" i="13"/>
  <c r="J90" i="4"/>
  <c r="BX90" i="4" s="1"/>
  <c r="AM90" i="4"/>
  <c r="AV389" i="13" s="1"/>
  <c r="AV488" i="13" s="1"/>
  <c r="CW90" i="4" a="1"/>
  <c r="CW90" i="4" s="1"/>
  <c r="Z1363" i="13"/>
  <c r="AT74" i="4"/>
  <c r="J74" i="4"/>
  <c r="AV76" i="13"/>
  <c r="F74" i="4"/>
  <c r="AV74" i="4"/>
  <c r="AM74" i="4"/>
  <c r="AV373" i="13" s="1"/>
  <c r="AV472" i="13" s="1"/>
  <c r="CW74" i="4" a="1"/>
  <c r="CW74" i="4" s="1"/>
  <c r="CS74" i="4"/>
  <c r="CT74" i="4" s="1"/>
  <c r="AV7" i="69"/>
  <c r="AX293" i="13"/>
  <c r="A392" i="13"/>
  <c r="BA90" i="4"/>
  <c r="BM3" i="69"/>
  <c r="W48" i="22"/>
  <c r="Y48" i="22" s="1"/>
  <c r="J33" i="4"/>
  <c r="AT33" i="4"/>
  <c r="AV35" i="13"/>
  <c r="Z1322" i="13"/>
  <c r="F33" i="4"/>
  <c r="AV33" i="4"/>
  <c r="AM33" i="4"/>
  <c r="AV332" i="13" s="1"/>
  <c r="AV431" i="13" s="1"/>
  <c r="CW33" i="4" a="1"/>
  <c r="CW33" i="4" s="1"/>
  <c r="V48" i="22"/>
  <c r="BM16" i="69"/>
  <c r="A388" i="13"/>
  <c r="AX289" i="13"/>
  <c r="AV8" i="69"/>
  <c r="W22" i="22"/>
  <c r="Y22" i="22" s="1"/>
  <c r="AX248" i="13"/>
  <c r="A347" i="13"/>
  <c r="AX231" i="13"/>
  <c r="A330" i="13"/>
  <c r="G43" i="15"/>
  <c r="H43" i="15" a="1"/>
  <c r="H43" i="15" s="1"/>
  <c r="I43" i="15" a="1"/>
  <c r="I43" i="15" s="1"/>
  <c r="AW42" i="69"/>
  <c r="AC31" i="69"/>
  <c r="AC36" i="69"/>
  <c r="BQ19" i="4"/>
  <c r="AX242" i="13"/>
  <c r="A341" i="13"/>
  <c r="BQ75" i="4"/>
  <c r="AC51" i="69"/>
  <c r="W59" i="22"/>
  <c r="Y59" i="22" s="1"/>
  <c r="J511" i="15"/>
  <c r="J550" i="15"/>
  <c r="AJ1289" i="13" a="1"/>
  <c r="AJ1289" i="13" s="1"/>
  <c r="JU23" i="18" a="1"/>
  <c r="JU23" i="18" s="1"/>
  <c r="AT94" i="69"/>
  <c r="A66" i="69"/>
  <c r="E60" i="15"/>
  <c r="P59" i="14" a="1"/>
  <c r="P59" i="14" s="1"/>
  <c r="E113" i="15"/>
  <c r="J91" i="69"/>
  <c r="T70" i="69"/>
  <c r="AJ93" i="69"/>
  <c r="J528" i="15"/>
  <c r="M64" i="69"/>
  <c r="E284" i="15"/>
  <c r="F284" i="15" s="1" a="1"/>
  <c r="F284" i="15" s="1"/>
  <c r="E265" i="15"/>
  <c r="AV50" i="4"/>
  <c r="F50" i="4"/>
  <c r="J50" i="4"/>
  <c r="BX50" i="4" s="1"/>
  <c r="AV52" i="13"/>
  <c r="Z1339" i="13"/>
  <c r="AT50" i="4"/>
  <c r="AM50" i="4"/>
  <c r="AV349" i="13" s="1"/>
  <c r="AV448" i="13" s="1"/>
  <c r="CW50" i="4" a="1"/>
  <c r="CW50" i="4" s="1"/>
  <c r="CS50" i="4"/>
  <c r="CT50" i="4" s="1"/>
  <c r="W73" i="22"/>
  <c r="Y73" i="22" s="1"/>
  <c r="AC50" i="69"/>
  <c r="AQ50" i="69" a="1"/>
  <c r="AQ50" i="69" s="1"/>
  <c r="BM12" i="69"/>
  <c r="A329" i="13"/>
  <c r="AX230" i="13"/>
  <c r="J14" i="4"/>
  <c r="F14" i="4"/>
  <c r="AT14" i="4"/>
  <c r="AV14" i="4"/>
  <c r="AV16" i="13"/>
  <c r="Z1303" i="13"/>
  <c r="AM14" i="4"/>
  <c r="AV313" i="13" s="1"/>
  <c r="AV412" i="13" s="1"/>
  <c r="CS14" i="4"/>
  <c r="CT14" i="4" s="1"/>
  <c r="CW14" i="4" a="1"/>
  <c r="CW14" i="4" s="1"/>
  <c r="W25" i="22"/>
  <c r="Y25" i="22" s="1"/>
  <c r="AZ14" i="69"/>
  <c r="AC14" i="69"/>
  <c r="V25" i="22"/>
  <c r="A389" i="13"/>
  <c r="AX290" i="13"/>
  <c r="AQ95" i="4" a="1"/>
  <c r="AQ95" i="4" s="1"/>
  <c r="H95" i="69" s="1"/>
  <c r="V95" i="4"/>
  <c r="AS95" i="4" a="1"/>
  <c r="AS95" i="4" s="1"/>
  <c r="C95" i="69" s="1"/>
  <c r="AR95" i="4"/>
  <c r="BX95" i="4"/>
  <c r="BN95" i="4"/>
  <c r="CU95" i="4"/>
  <c r="CV95" i="4" s="1"/>
  <c r="AV50" i="13"/>
  <c r="Z1337" i="13"/>
  <c r="AT48" i="4"/>
  <c r="AV48" i="4"/>
  <c r="F48" i="4"/>
  <c r="J48" i="4"/>
  <c r="AM48" i="4"/>
  <c r="AV347" i="13" s="1"/>
  <c r="AV446" i="13" s="1"/>
  <c r="CS48" i="4"/>
  <c r="CT48" i="4" s="1"/>
  <c r="CW48" i="4" a="1"/>
  <c r="CW48" i="4" s="1"/>
  <c r="AZ48" i="69"/>
  <c r="BQ58" i="4"/>
  <c r="BA58" i="4"/>
  <c r="BM7" i="69"/>
  <c r="A339" i="13"/>
  <c r="AX240" i="13"/>
  <c r="BE94" i="4"/>
  <c r="BI94" i="4"/>
  <c r="AV591" i="13"/>
  <c r="AC61" i="69"/>
  <c r="AT61" i="4"/>
  <c r="Z1350" i="13"/>
  <c r="J61" i="4"/>
  <c r="F61" i="4"/>
  <c r="AV63" i="13"/>
  <c r="AV61" i="4"/>
  <c r="AM61" i="4"/>
  <c r="AV360" i="13" s="1"/>
  <c r="AV459" i="13" s="1"/>
  <c r="CW61" i="4" a="1"/>
  <c r="CW61" i="4" s="1"/>
  <c r="AC63" i="69"/>
  <c r="AV63" i="4"/>
  <c r="F63" i="4"/>
  <c r="J63" i="4"/>
  <c r="AV65" i="13"/>
  <c r="Z1352" i="13"/>
  <c r="AT63" i="4"/>
  <c r="AM63" i="4"/>
  <c r="AV362" i="13" s="1"/>
  <c r="AV461" i="13" s="1"/>
  <c r="CW63" i="4" a="1"/>
  <c r="CW63" i="4" s="1"/>
  <c r="CS63" i="4"/>
  <c r="CT63" i="4" s="1"/>
  <c r="AT42" i="4"/>
  <c r="J42" i="4"/>
  <c r="AV44" i="13"/>
  <c r="AV42" i="4"/>
  <c r="F42" i="4"/>
  <c r="Z1331" i="13"/>
  <c r="AM42" i="4"/>
  <c r="AV341" i="13" s="1"/>
  <c r="AV440" i="13" s="1"/>
  <c r="CW42" i="4" a="1"/>
  <c r="CW42" i="4" s="1"/>
  <c r="AX251" i="13"/>
  <c r="A350" i="13"/>
  <c r="AC44" i="69"/>
  <c r="AV46" i="13"/>
  <c r="J44" i="4"/>
  <c r="Z1333" i="13"/>
  <c r="AT44" i="4"/>
  <c r="AV44" i="4"/>
  <c r="F44" i="4"/>
  <c r="AM44" i="4"/>
  <c r="AV343" i="13" s="1"/>
  <c r="AV442" i="13" s="1"/>
  <c r="CW44" i="4" a="1"/>
  <c r="CW44" i="4" s="1"/>
  <c r="CS44" i="4"/>
  <c r="CT44" i="4" s="1"/>
  <c r="BH78" i="69"/>
  <c r="BJ78" i="69" s="1"/>
  <c r="AX219" i="13"/>
  <c r="A318" i="13"/>
  <c r="AE32" i="69" a="1"/>
  <c r="AE32" i="69" s="1"/>
  <c r="W70" i="22"/>
  <c r="Y70" i="22" s="1"/>
  <c r="A325" i="13"/>
  <c r="AX226" i="13"/>
  <c r="AE50" i="69" a="1"/>
  <c r="AE50" i="69" s="1"/>
  <c r="AH50" i="69" s="1" a="1"/>
  <c r="AH50" i="69" s="1"/>
  <c r="AZ41" i="69"/>
  <c r="W42" i="22"/>
  <c r="Y42" i="22" s="1"/>
  <c r="H422" i="15" a="1"/>
  <c r="H422" i="15" s="1"/>
  <c r="I422" i="15" a="1"/>
  <c r="I422" i="15" s="1"/>
  <c r="BQ72" i="4"/>
  <c r="W75" i="22"/>
  <c r="Y75" i="22" s="1"/>
  <c r="BQ79" i="4"/>
  <c r="AC70" i="69"/>
  <c r="AX265" i="13"/>
  <c r="A364" i="13"/>
  <c r="AC86" i="69"/>
  <c r="E68" i="15"/>
  <c r="I15" i="15" a="1"/>
  <c r="I15" i="15" s="1"/>
  <c r="E72" i="15"/>
  <c r="Y56" i="14" a="1"/>
  <c r="Y56" i="14" s="1"/>
  <c r="J60" i="69"/>
  <c r="H21" i="7" a="1"/>
  <c r="H21" i="7" s="1"/>
  <c r="Q61" i="69"/>
  <c r="AU82" i="69"/>
  <c r="W37" i="22"/>
  <c r="Y37" i="22" s="1"/>
  <c r="P93" i="69"/>
  <c r="I14" i="15" a="1"/>
  <c r="I14" i="15" s="1"/>
  <c r="AE35" i="69" a="1"/>
  <c r="AE35" i="69" s="1"/>
  <c r="BF35" i="69" s="1" a="1"/>
  <c r="BF35" i="69" s="1"/>
  <c r="V55" i="22"/>
  <c r="AX292" i="13"/>
  <c r="A391" i="13"/>
  <c r="AX244" i="13"/>
  <c r="A343" i="13"/>
  <c r="V61" i="22"/>
  <c r="BK42" i="69"/>
  <c r="BQ34" i="4"/>
  <c r="V69" i="22"/>
  <c r="T60" i="69"/>
  <c r="BQ50" i="4"/>
  <c r="AC48" i="69"/>
  <c r="AC35" i="69"/>
  <c r="V75" i="22"/>
  <c r="I369" i="15" a="1"/>
  <c r="I369" i="15" s="1"/>
  <c r="H369" i="15" a="1"/>
  <c r="H369" i="15" s="1"/>
  <c r="A342" i="13"/>
  <c r="AX243" i="13"/>
  <c r="AX253" i="13"/>
  <c r="A352" i="13"/>
  <c r="V63" i="22"/>
  <c r="W60" i="22"/>
  <c r="Y60" i="22" s="1"/>
  <c r="BA23" i="4"/>
  <c r="BQ23" i="4"/>
  <c r="BA92" i="4"/>
  <c r="BQ92" i="4"/>
  <c r="KA29" i="18" a="1"/>
  <c r="KA29" i="18" s="1"/>
  <c r="H257" i="15" a="1"/>
  <c r="H257" i="15" s="1"/>
  <c r="I257" i="15" a="1"/>
  <c r="I257" i="15" s="1"/>
  <c r="Q81" i="69"/>
  <c r="BI54" i="69" a="1"/>
  <c r="BI54" i="69" s="1"/>
  <c r="BE54" i="69" a="1"/>
  <c r="BE54" i="69" s="1"/>
  <c r="E54" i="69"/>
  <c r="BH54" i="69"/>
  <c r="BJ54" i="69" s="1"/>
  <c r="R54" i="69"/>
  <c r="AV54" i="69"/>
  <c r="BL54" i="69"/>
  <c r="AY54" i="69"/>
  <c r="O95" i="69"/>
  <c r="AU81" i="69"/>
  <c r="JX11" i="18" a="1"/>
  <c r="JX11" i="18" s="1"/>
  <c r="E173" i="15"/>
  <c r="E79" i="15"/>
  <c r="F6" i="15"/>
  <c r="N95" i="69" a="1"/>
  <c r="N95" i="69" s="1"/>
  <c r="X58" i="23" a="1"/>
  <c r="X58" i="23" s="1"/>
  <c r="X36" i="23" s="1"/>
  <c r="N65" i="69" a="1"/>
  <c r="N65" i="69" s="1"/>
  <c r="AU67" i="69"/>
  <c r="AV67" i="69" s="1"/>
  <c r="W88" i="69"/>
  <c r="J530" i="15"/>
  <c r="G75" i="69"/>
  <c r="J562" i="15"/>
  <c r="J557" i="15"/>
  <c r="J553" i="15"/>
  <c r="G83" i="69"/>
  <c r="F13" i="15"/>
  <c r="A366" i="13"/>
  <c r="AX267" i="13"/>
  <c r="A373" i="13"/>
  <c r="AX274" i="13"/>
  <c r="BA3" i="4"/>
  <c r="BQ3" i="4"/>
  <c r="A306" i="13"/>
  <c r="AX207" i="13"/>
  <c r="F31" i="4"/>
  <c r="AT31" i="4"/>
  <c r="AV31" i="4"/>
  <c r="Z1320" i="13"/>
  <c r="AV33" i="13"/>
  <c r="J31" i="4"/>
  <c r="AM31" i="4"/>
  <c r="AV330" i="13" s="1"/>
  <c r="AV429" i="13" s="1"/>
  <c r="CW31" i="4" a="1"/>
  <c r="CW31" i="4" s="1"/>
  <c r="CS31" i="4"/>
  <c r="CT31" i="4" s="1"/>
  <c r="BA16" i="4"/>
  <c r="BQ16" i="4"/>
  <c r="F68" i="4"/>
  <c r="Z1357" i="13"/>
  <c r="AV68" i="4"/>
  <c r="AV70" i="13"/>
  <c r="J68" i="4"/>
  <c r="AT68" i="4"/>
  <c r="AM68" i="4"/>
  <c r="AV367" i="13" s="1"/>
  <c r="AV466" i="13" s="1"/>
  <c r="CW68" i="4" a="1"/>
  <c r="CW68" i="4" s="1"/>
  <c r="CS68" i="4"/>
  <c r="CT68" i="4" s="1"/>
  <c r="BA53" i="4"/>
  <c r="BQ53" i="4"/>
  <c r="BA77" i="4"/>
  <c r="BQ77" i="4"/>
  <c r="I359" i="15" a="1"/>
  <c r="I359" i="15" s="1"/>
  <c r="H359" i="15" a="1"/>
  <c r="H359" i="15" s="1"/>
  <c r="AX222" i="13"/>
  <c r="A321" i="13"/>
  <c r="I107" i="15" a="1"/>
  <c r="I107" i="15" s="1"/>
  <c r="H107" i="15" a="1"/>
  <c r="H107" i="15" s="1"/>
  <c r="BQ26" i="4"/>
  <c r="A386" i="13"/>
  <c r="AX287" i="13"/>
  <c r="AC74" i="69"/>
  <c r="AZ52" i="69"/>
  <c r="BQ42" i="4"/>
  <c r="AC72" i="69"/>
  <c r="W74" i="22"/>
  <c r="Y74" i="22" s="1"/>
  <c r="AC66" i="69"/>
  <c r="H481" i="15" a="1"/>
  <c r="H481" i="15" s="1"/>
  <c r="I481" i="15" a="1"/>
  <c r="I481" i="15" s="1"/>
  <c r="BQ87" i="4"/>
  <c r="V75" i="69"/>
  <c r="Q60" i="69"/>
  <c r="W59" i="23" a="1"/>
  <c r="W59" i="23" s="1"/>
  <c r="E436" i="15"/>
  <c r="F434" i="15" s="1" a="1"/>
  <c r="F434" i="15" s="1"/>
  <c r="JX19" i="18" a="1"/>
  <c r="JX19" i="18" s="1"/>
  <c r="AB87" i="69" a="1"/>
  <c r="AB87" i="69" s="1"/>
  <c r="JX14" i="18" a="1"/>
  <c r="JX14" i="18" s="1"/>
  <c r="V93" i="69"/>
  <c r="AC69" i="69"/>
  <c r="M76" i="69"/>
  <c r="JU30" i="18" a="1"/>
  <c r="JU30" i="18" s="1"/>
  <c r="KA11" i="18" a="1"/>
  <c r="KA11" i="18" s="1"/>
  <c r="JR29" i="18" a="1"/>
  <c r="JR29" i="18" s="1"/>
  <c r="AT64" i="69"/>
  <c r="A92" i="69"/>
  <c r="KA16" i="18" a="1"/>
  <c r="KA16" i="18" s="1"/>
  <c r="Y73" i="69"/>
  <c r="AC83" i="69"/>
  <c r="W64" i="22"/>
  <c r="Y64" i="22" s="1"/>
  <c r="J93" i="69"/>
  <c r="W50" i="22"/>
  <c r="Y50" i="22" s="1"/>
  <c r="G84" i="69"/>
  <c r="J89" i="69"/>
  <c r="I370" i="15" a="1"/>
  <c r="I370" i="15" s="1"/>
  <c r="H370" i="15" a="1"/>
  <c r="H370" i="15" s="1"/>
  <c r="AX262" i="13"/>
  <c r="A361" i="13"/>
  <c r="I308" i="15" a="1"/>
  <c r="I308" i="15" s="1"/>
  <c r="H308" i="15" a="1"/>
  <c r="H308" i="15" s="1"/>
  <c r="AX269" i="13"/>
  <c r="A368" i="13"/>
  <c r="J16" i="4"/>
  <c r="AT16" i="4"/>
  <c r="AV18" i="13"/>
  <c r="F16" i="4"/>
  <c r="BO16" i="4" s="1"/>
  <c r="Z1305" i="13"/>
  <c r="AV16" i="4"/>
  <c r="AM16" i="4"/>
  <c r="AV315" i="13" s="1"/>
  <c r="AV414" i="13" s="1"/>
  <c r="CW16" i="4" a="1"/>
  <c r="CW16" i="4" s="1"/>
  <c r="CS16" i="4"/>
  <c r="CT16" i="4" s="1"/>
  <c r="AZ16" i="69"/>
  <c r="V68" i="22"/>
  <c r="W68" i="22"/>
  <c r="Y68" i="22" s="1"/>
  <c r="AC16" i="69"/>
  <c r="AT85" i="4"/>
  <c r="Z1374" i="13"/>
  <c r="AV85" i="4"/>
  <c r="J85" i="4"/>
  <c r="BX85" i="4" s="1"/>
  <c r="F85" i="4"/>
  <c r="AV87" i="13"/>
  <c r="AM85" i="4"/>
  <c r="AV384" i="13" s="1"/>
  <c r="AV483" i="13" s="1"/>
  <c r="CS85" i="4"/>
  <c r="CT85" i="4" s="1"/>
  <c r="CW85" i="4" a="1"/>
  <c r="CW85" i="4" s="1"/>
  <c r="BQ5" i="4"/>
  <c r="F57" i="4"/>
  <c r="Z1346" i="13"/>
  <c r="AV57" i="4"/>
  <c r="AV59" i="13"/>
  <c r="J57" i="4"/>
  <c r="AT57" i="4"/>
  <c r="AM57" i="4"/>
  <c r="AV356" i="13" s="1"/>
  <c r="AV455" i="13" s="1"/>
  <c r="CW57" i="4" a="1"/>
  <c r="CW57" i="4" s="1"/>
  <c r="A336" i="13"/>
  <c r="AX237" i="13"/>
  <c r="BQ94" i="4"/>
  <c r="BA94" i="4"/>
  <c r="BO94" i="4" s="1"/>
  <c r="BQ88" i="4"/>
  <c r="AV30" i="13"/>
  <c r="AV28" i="4"/>
  <c r="Z1317" i="13"/>
  <c r="AT28" i="4"/>
  <c r="F28" i="4"/>
  <c r="J28" i="4"/>
  <c r="BX28" i="4" s="1"/>
  <c r="AM28" i="4"/>
  <c r="AV327" i="13" s="1"/>
  <c r="AV426" i="13" s="1"/>
  <c r="CS28" i="4"/>
  <c r="CT28" i="4" s="1"/>
  <c r="CW28" i="4" a="1"/>
  <c r="CW28" i="4" s="1"/>
  <c r="AZ28" i="69"/>
  <c r="W92" i="22"/>
  <c r="Y92" i="22" s="1"/>
  <c r="AT59" i="4"/>
  <c r="AV59" i="4"/>
  <c r="J59" i="4"/>
  <c r="BX59" i="4" s="1"/>
  <c r="Z1348" i="13"/>
  <c r="AV61" i="13"/>
  <c r="F59" i="4"/>
  <c r="U59" i="4" s="1"/>
  <c r="AM59" i="4"/>
  <c r="AV358" i="13" s="1"/>
  <c r="AV457" i="13" s="1"/>
  <c r="CS59" i="4"/>
  <c r="CT59" i="4" s="1"/>
  <c r="CW59" i="4" a="1"/>
  <c r="CW59" i="4" s="1"/>
  <c r="BA70" i="4"/>
  <c r="BQ70" i="4"/>
  <c r="AV53" i="4"/>
  <c r="F53" i="4"/>
  <c r="Z1342" i="13"/>
  <c r="AT53" i="4"/>
  <c r="J53" i="4"/>
  <c r="AV55" i="13"/>
  <c r="AM53" i="4"/>
  <c r="AV352" i="13" s="1"/>
  <c r="AV451" i="13" s="1"/>
  <c r="CW53" i="4" a="1"/>
  <c r="CW53" i="4" s="1"/>
  <c r="CS53" i="4"/>
  <c r="CT53" i="4" s="1"/>
  <c r="AZ53" i="69"/>
  <c r="W36" i="22"/>
  <c r="Y36" i="22" s="1"/>
  <c r="A307" i="13"/>
  <c r="AX208" i="13"/>
  <c r="I275" i="15" a="1"/>
  <c r="I275" i="15" s="1"/>
  <c r="H275" i="15" a="1"/>
  <c r="H275" i="15" s="1"/>
  <c r="AV75" i="4"/>
  <c r="AV77" i="13"/>
  <c r="F75" i="4"/>
  <c r="Z1364" i="13"/>
  <c r="J75" i="4"/>
  <c r="BX75" i="4" s="1"/>
  <c r="AT75" i="4"/>
  <c r="K75" i="69" s="1" a="1"/>
  <c r="K75" i="69" s="1"/>
  <c r="AM75" i="4"/>
  <c r="AV374" i="13" s="1"/>
  <c r="AV473" i="13" s="1"/>
  <c r="CS75" i="4"/>
  <c r="CT75" i="4" s="1"/>
  <c r="CW75" i="4" a="1"/>
  <c r="CW75" i="4" s="1"/>
  <c r="BA20" i="4"/>
  <c r="BQ20" i="4"/>
  <c r="A316" i="13"/>
  <c r="AX217" i="13"/>
  <c r="A699" i="13"/>
  <c r="AX600" i="13"/>
  <c r="J13" i="4"/>
  <c r="Z1302" i="13"/>
  <c r="AV13" i="4"/>
  <c r="AV15" i="13"/>
  <c r="AT13" i="4"/>
  <c r="F13" i="4"/>
  <c r="AM13" i="4"/>
  <c r="AV312" i="13" s="1"/>
  <c r="AV411" i="13" s="1"/>
  <c r="W23" i="22"/>
  <c r="Y23" i="22" s="1"/>
  <c r="V23" i="22"/>
  <c r="AC13" i="69"/>
  <c r="CW13" i="4" a="1"/>
  <c r="CW13" i="4" s="1"/>
  <c r="CS13" i="4"/>
  <c r="CT13" i="4" s="1"/>
  <c r="AZ13" i="69"/>
  <c r="BQ73" i="4"/>
  <c r="R16" i="69"/>
  <c r="BM11" i="69"/>
  <c r="AC87" i="69"/>
  <c r="AT87" i="4"/>
  <c r="Z1376" i="13"/>
  <c r="J87" i="4"/>
  <c r="AV89" i="13"/>
  <c r="AV87" i="4"/>
  <c r="F87" i="4"/>
  <c r="U87" i="4" s="1"/>
  <c r="AM87" i="4"/>
  <c r="AV386" i="13" s="1"/>
  <c r="AV485" i="13" s="1"/>
  <c r="CW87" i="4" a="1"/>
  <c r="CW87" i="4" s="1"/>
  <c r="BA89" i="4"/>
  <c r="BQ89" i="4"/>
  <c r="A327" i="13"/>
  <c r="AX228" i="13"/>
  <c r="BA15" i="4"/>
  <c r="BQ15" i="4"/>
  <c r="AO4" i="69" a="1"/>
  <c r="AO4" i="69" s="1"/>
  <c r="AC47" i="69"/>
  <c r="BA52" i="4"/>
  <c r="BQ52" i="4"/>
  <c r="V47" i="22"/>
  <c r="AZ50" i="69"/>
  <c r="W69" i="22"/>
  <c r="Y69" i="22" s="1"/>
  <c r="A322" i="13"/>
  <c r="AX223" i="13"/>
  <c r="AZ47" i="69"/>
  <c r="I441" i="15" a="1"/>
  <c r="I441" i="15" s="1"/>
  <c r="H441" i="15" a="1"/>
  <c r="H441" i="15" s="1"/>
  <c r="BA61" i="4"/>
  <c r="BQ61" i="4"/>
  <c r="AZ38" i="69"/>
  <c r="F247" i="15" a="1"/>
  <c r="F247" i="15" s="1"/>
  <c r="BQ4" i="4"/>
  <c r="BA4" i="4"/>
  <c r="BO4" i="4" s="1"/>
  <c r="AD4" i="69" s="1"/>
  <c r="BA76" i="4"/>
  <c r="BQ76" i="4"/>
  <c r="AC65" i="69"/>
  <c r="BQ65" i="4"/>
  <c r="BA43" i="4"/>
  <c r="BQ43" i="4"/>
  <c r="E264" i="15"/>
  <c r="AC71" i="69"/>
  <c r="AC90" i="69"/>
  <c r="BQ41" i="4"/>
  <c r="AK72" i="69"/>
  <c r="AK82" i="69"/>
  <c r="Y80" i="69"/>
  <c r="S58" i="14" a="1"/>
  <c r="S58" i="14" s="1"/>
  <c r="A69" i="69"/>
  <c r="AZ69" i="69" s="1"/>
  <c r="AK68" i="69"/>
  <c r="JU31" i="18" a="1"/>
  <c r="JU31" i="18" s="1"/>
  <c r="JX21" i="18" a="1"/>
  <c r="JX21" i="18" s="1"/>
  <c r="JR7" i="18" a="1"/>
  <c r="JR7" i="18" s="1"/>
  <c r="J571" i="15"/>
  <c r="J561" i="15"/>
  <c r="M95" i="69"/>
  <c r="W58" i="23" a="1"/>
  <c r="W58" i="23" s="1"/>
  <c r="W36" i="23" s="1"/>
  <c r="E133" i="15"/>
  <c r="G66" i="69"/>
  <c r="W68" i="69"/>
  <c r="M59" i="14" a="1"/>
  <c r="M59" i="14" s="1"/>
  <c r="M90" i="69"/>
  <c r="JR8" i="18" a="1"/>
  <c r="JR8" i="18" s="1"/>
  <c r="Y92" i="69"/>
  <c r="J70" i="4"/>
  <c r="BX70" i="4" s="1"/>
  <c r="AV72" i="13"/>
  <c r="AT70" i="4"/>
  <c r="Z1359" i="13"/>
  <c r="AV70" i="4"/>
  <c r="F70" i="4"/>
  <c r="AM70" i="4"/>
  <c r="AV369" i="13" s="1"/>
  <c r="AV468" i="13" s="1"/>
  <c r="CW70" i="4" a="1"/>
  <c r="CW70" i="4" s="1"/>
  <c r="CS70" i="4"/>
  <c r="CT70" i="4" s="1"/>
  <c r="AV84" i="13"/>
  <c r="F82" i="4"/>
  <c r="BO82" i="4" s="1"/>
  <c r="AV82" i="4"/>
  <c r="Z1371" i="13"/>
  <c r="AT82" i="4"/>
  <c r="J82" i="4"/>
  <c r="BX82" i="4" s="1"/>
  <c r="AM82" i="4"/>
  <c r="AV381" i="13" s="1"/>
  <c r="AV480" i="13" s="1"/>
  <c r="CW82" i="4" a="1"/>
  <c r="CW82" i="4" s="1"/>
  <c r="CS82" i="4"/>
  <c r="CT82" i="4" s="1"/>
  <c r="AX291" i="13"/>
  <c r="A390" i="13"/>
  <c r="BA28" i="4"/>
  <c r="BQ28" i="4"/>
  <c r="A311" i="13"/>
  <c r="AX212" i="13"/>
  <c r="AT40" i="4"/>
  <c r="AV40" i="4"/>
  <c r="Z1329" i="13"/>
  <c r="AV42" i="13"/>
  <c r="J40" i="4"/>
  <c r="F40" i="4"/>
  <c r="AM40" i="4"/>
  <c r="AV339" i="13" s="1"/>
  <c r="AV438" i="13" s="1"/>
  <c r="CS40" i="4"/>
  <c r="CT40" i="4" s="1"/>
  <c r="CW40" i="4" a="1"/>
  <c r="CW40" i="4" s="1"/>
  <c r="AZ40" i="69"/>
  <c r="AT49" i="4"/>
  <c r="AV49" i="4"/>
  <c r="J49" i="4"/>
  <c r="F49" i="4"/>
  <c r="BO49" i="4" s="1"/>
  <c r="AV51" i="13"/>
  <c r="Z1338" i="13"/>
  <c r="AM49" i="4"/>
  <c r="AV348" i="13" s="1"/>
  <c r="AV447" i="13" s="1"/>
  <c r="CW49" i="4" a="1"/>
  <c r="CW49" i="4" s="1"/>
  <c r="CS49" i="4"/>
  <c r="CT49" i="4" s="1"/>
  <c r="AC49" i="69"/>
  <c r="J25" i="4"/>
  <c r="BX25" i="4" s="1"/>
  <c r="AV27" i="13"/>
  <c r="AV25" i="4"/>
  <c r="F25" i="4"/>
  <c r="AT25" i="4"/>
  <c r="Z1314" i="13"/>
  <c r="AM25" i="4"/>
  <c r="AV324" i="13" s="1"/>
  <c r="AV423" i="13" s="1"/>
  <c r="CS25" i="4"/>
  <c r="CT25" i="4" s="1"/>
  <c r="CW25" i="4" a="1"/>
  <c r="CW25" i="4" s="1"/>
  <c r="V41" i="22"/>
  <c r="W41" i="22"/>
  <c r="Y41" i="22" s="1"/>
  <c r="W63" i="22"/>
  <c r="Y63" i="22" s="1"/>
  <c r="AV45" i="13"/>
  <c r="F43" i="4"/>
  <c r="BO43" i="4" s="1"/>
  <c r="J43" i="4"/>
  <c r="Z1332" i="13"/>
  <c r="AV43" i="4"/>
  <c r="AT43" i="4"/>
  <c r="AM43" i="4"/>
  <c r="AV342" i="13" s="1"/>
  <c r="AV441" i="13" s="1"/>
  <c r="CW43" i="4" a="1"/>
  <c r="CW43" i="4" s="1"/>
  <c r="CS43" i="4"/>
  <c r="CT43" i="4" s="1"/>
  <c r="Z1316" i="13"/>
  <c r="F27" i="4"/>
  <c r="J27" i="4"/>
  <c r="AV27" i="4"/>
  <c r="AV29" i="13"/>
  <c r="AT27" i="4"/>
  <c r="AM27" i="4"/>
  <c r="AV326" i="13" s="1"/>
  <c r="AV425" i="13" s="1"/>
  <c r="CS27" i="4"/>
  <c r="CT27" i="4" s="1"/>
  <c r="CW27" i="4" a="1"/>
  <c r="CW27" i="4" s="1"/>
  <c r="A367" i="13"/>
  <c r="AX268" i="13"/>
  <c r="W49" i="22"/>
  <c r="Y49" i="22" s="1"/>
  <c r="AT32" i="4"/>
  <c r="J32" i="4"/>
  <c r="BX32" i="4" s="1"/>
  <c r="AV34" i="13"/>
  <c r="Z1321" i="13"/>
  <c r="F32" i="4"/>
  <c r="U32" i="4" s="1"/>
  <c r="AV32" i="4"/>
  <c r="AM32" i="4"/>
  <c r="AV331" i="13" s="1"/>
  <c r="AV430" i="13" s="1"/>
  <c r="CW32" i="4" a="1"/>
  <c r="CW32" i="4" s="1"/>
  <c r="CS32" i="4"/>
  <c r="CT32" i="4" s="1"/>
  <c r="V49" i="22"/>
  <c r="AT23" i="4"/>
  <c r="J23" i="4"/>
  <c r="AV23" i="4"/>
  <c r="Z1312" i="13"/>
  <c r="AV25" i="13"/>
  <c r="F23" i="4"/>
  <c r="AM23" i="4"/>
  <c r="AV322" i="13" s="1"/>
  <c r="AV421" i="13" s="1"/>
  <c r="CS23" i="4"/>
  <c r="CT23" i="4" s="1"/>
  <c r="CW23" i="4" a="1"/>
  <c r="CW23" i="4" s="1"/>
  <c r="W39" i="22"/>
  <c r="Y39" i="22" s="1"/>
  <c r="AC23" i="69"/>
  <c r="F29" i="4"/>
  <c r="Z1318" i="13"/>
  <c r="J29" i="4"/>
  <c r="BX29" i="4" s="1"/>
  <c r="AV29" i="4"/>
  <c r="AV31" i="13"/>
  <c r="AT29" i="4"/>
  <c r="AM29" i="4"/>
  <c r="AV328" i="13" s="1"/>
  <c r="AV427" i="13" s="1"/>
  <c r="CW29" i="4" a="1"/>
  <c r="CW29" i="4" s="1"/>
  <c r="BA54" i="4"/>
  <c r="BQ54" i="4"/>
  <c r="AX51" i="69"/>
  <c r="AW51" i="69"/>
  <c r="AD95" i="69"/>
  <c r="BJ95" i="4"/>
  <c r="BB95" i="4" s="1" a="1"/>
  <c r="BB95" i="4" s="1"/>
  <c r="BA95" i="69"/>
  <c r="AW47" i="69"/>
  <c r="AX275" i="13"/>
  <c r="A374" i="13"/>
  <c r="F420" i="15" a="1"/>
  <c r="F420" i="15" s="1"/>
  <c r="AC42" i="69"/>
  <c r="I483" i="15" a="1"/>
  <c r="I483" i="15" s="1"/>
  <c r="H483" i="15" a="1"/>
  <c r="H483" i="15" s="1"/>
  <c r="BQ45" i="4"/>
  <c r="AZ42" i="69"/>
  <c r="AZ46" i="69"/>
  <c r="AC43" i="69"/>
  <c r="A690" i="13"/>
  <c r="AX591" i="13"/>
  <c r="BH69" i="69"/>
  <c r="BJ69" i="69" s="1"/>
  <c r="AY69" i="69"/>
  <c r="E69" i="69"/>
  <c r="BI69" i="69" a="1"/>
  <c r="BI69" i="69" s="1"/>
  <c r="AC62" i="69"/>
  <c r="Q3" i="1" a="1"/>
  <c r="Q3" i="1" s="1"/>
  <c r="Q98" i="1" s="1"/>
  <c r="A378" i="13"/>
  <c r="AX279" i="13"/>
  <c r="W57" i="22"/>
  <c r="Y57" i="22" s="1"/>
  <c r="AX57" i="13"/>
  <c r="A156" i="13"/>
  <c r="AJ88" i="69"/>
  <c r="AC78" i="69"/>
  <c r="P72" i="69"/>
  <c r="BK40" i="69"/>
  <c r="AX264" i="13"/>
  <c r="A363" i="13"/>
  <c r="E366" i="15"/>
  <c r="KA20" i="18" a="1"/>
  <c r="KA20" i="18" s="1"/>
  <c r="AB92" i="69" a="1"/>
  <c r="AB92" i="69" s="1"/>
  <c r="H22" i="7" a="1"/>
  <c r="H22" i="7" s="1"/>
  <c r="T14" i="27" a="1"/>
  <c r="T14" i="27" s="1"/>
  <c r="I13" i="15" a="1"/>
  <c r="I13" i="15" s="1"/>
  <c r="AK87" i="69"/>
  <c r="J84" i="69"/>
  <c r="E114" i="15"/>
  <c r="W86" i="69"/>
  <c r="BM86" i="69" s="1"/>
  <c r="JX27" i="18" a="1"/>
  <c r="JX27" i="18" s="1"/>
  <c r="T77" i="69"/>
  <c r="A59" i="69"/>
  <c r="BK32" i="69"/>
  <c r="E356" i="15"/>
  <c r="M87" i="69"/>
  <c r="AS1289" i="13" a="1"/>
  <c r="AS1289" i="13" s="1"/>
  <c r="AT93" i="69"/>
  <c r="Y78" i="69"/>
  <c r="KA8" i="18" a="1"/>
  <c r="KA8" i="18" s="1"/>
  <c r="AC93" i="69"/>
  <c r="AV95" i="13"/>
  <c r="AT93" i="4"/>
  <c r="AV93" i="4"/>
  <c r="J93" i="4"/>
  <c r="Z1382" i="13"/>
  <c r="F93" i="4"/>
  <c r="AM93" i="4"/>
  <c r="AV392" i="13" s="1"/>
  <c r="AV491" i="13" s="1"/>
  <c r="CS93" i="4"/>
  <c r="CT93" i="4" s="1"/>
  <c r="CW93" i="4" a="1"/>
  <c r="CW93" i="4" s="1"/>
  <c r="J47" i="4"/>
  <c r="AV47" i="4"/>
  <c r="AT47" i="4"/>
  <c r="Z1336" i="13"/>
  <c r="F47" i="4"/>
  <c r="U47" i="4" s="1"/>
  <c r="AV49" i="13"/>
  <c r="AM47" i="4"/>
  <c r="AV346" i="13" s="1"/>
  <c r="AV445" i="13" s="1"/>
  <c r="CW47" i="4" a="1"/>
  <c r="CW47" i="4" s="1"/>
  <c r="A379" i="13"/>
  <c r="AX280" i="13"/>
  <c r="Z1327" i="13"/>
  <c r="J38" i="4"/>
  <c r="F38" i="4"/>
  <c r="U38" i="4" s="1"/>
  <c r="AV40" i="13"/>
  <c r="AV38" i="4"/>
  <c r="AT38" i="4"/>
  <c r="AM38" i="4"/>
  <c r="AV337" i="13" s="1"/>
  <c r="AV436" i="13" s="1"/>
  <c r="CW38" i="4" a="1"/>
  <c r="CW38" i="4" s="1"/>
  <c r="Z1358" i="13"/>
  <c r="AT69" i="4"/>
  <c r="AV69" i="4"/>
  <c r="F69" i="4"/>
  <c r="U69" i="4" s="1"/>
  <c r="AV71" i="13"/>
  <c r="J69" i="4"/>
  <c r="BX69" i="4" s="1"/>
  <c r="AM69" i="4"/>
  <c r="AV368" i="13" s="1"/>
  <c r="AV467" i="13" s="1"/>
  <c r="CW69" i="4" a="1"/>
  <c r="CW69" i="4" s="1"/>
  <c r="CS69" i="4"/>
  <c r="CT69" i="4" s="1"/>
  <c r="AT20" i="4"/>
  <c r="F20" i="4"/>
  <c r="Z1309" i="13"/>
  <c r="J20" i="4"/>
  <c r="BX20" i="4" s="1"/>
  <c r="AV20" i="4"/>
  <c r="AV22" i="13"/>
  <c r="AM20" i="4"/>
  <c r="AV319" i="13" s="1"/>
  <c r="AV418" i="13" s="1"/>
  <c r="AC20" i="69"/>
  <c r="CW20" i="4" a="1"/>
  <c r="CW20" i="4" s="1"/>
  <c r="CS20" i="4"/>
  <c r="CT20" i="4" s="1"/>
  <c r="W30" i="22"/>
  <c r="Y30" i="22" s="1"/>
  <c r="AZ20" i="69"/>
  <c r="V30" i="22"/>
  <c r="AX273" i="13"/>
  <c r="A372" i="13"/>
  <c r="BM17" i="69"/>
  <c r="F67" i="4"/>
  <c r="BO67" i="4" s="1"/>
  <c r="AV67" i="4"/>
  <c r="J67" i="4"/>
  <c r="BX67" i="4" s="1"/>
  <c r="Z1356" i="13"/>
  <c r="AV69" i="13"/>
  <c r="AT67" i="4"/>
  <c r="K67" i="69" s="1" a="1"/>
  <c r="K67" i="69" s="1"/>
  <c r="AM67" i="4"/>
  <c r="AV366" i="13" s="1"/>
  <c r="AV465" i="13" s="1"/>
  <c r="CW67" i="4" a="1"/>
  <c r="CW67" i="4" s="1"/>
  <c r="CS67" i="4"/>
  <c r="CT67" i="4" s="1"/>
  <c r="BA13" i="4"/>
  <c r="BQ13" i="4"/>
  <c r="Z1325" i="13"/>
  <c r="AV38" i="13"/>
  <c r="J36" i="4"/>
  <c r="BX36" i="4" s="1"/>
  <c r="AV36" i="4"/>
  <c r="AT36" i="4"/>
  <c r="F36" i="4"/>
  <c r="AM36" i="4"/>
  <c r="AV335" i="13" s="1"/>
  <c r="AV434" i="13" s="1"/>
  <c r="CW36" i="4" a="1"/>
  <c r="CW36" i="4" s="1"/>
  <c r="AZ36" i="69"/>
  <c r="BA85" i="4"/>
  <c r="BQ85" i="4"/>
  <c r="AX161" i="13"/>
  <c r="A260" i="13"/>
  <c r="V38" i="22"/>
  <c r="J22" i="4"/>
  <c r="AV24" i="13"/>
  <c r="Z1311" i="13"/>
  <c r="AT22" i="4"/>
  <c r="AV22" i="4"/>
  <c r="F22" i="4"/>
  <c r="AM22" i="4"/>
  <c r="AV321" i="13" s="1"/>
  <c r="AV420" i="13" s="1"/>
  <c r="CW22" i="4" a="1"/>
  <c r="CW22" i="4" s="1"/>
  <c r="CS22" i="4"/>
  <c r="CT22" i="4" s="1"/>
  <c r="BA12" i="4"/>
  <c r="BQ12" i="4"/>
  <c r="AT78" i="4"/>
  <c r="K78" i="69" s="1" a="1"/>
  <c r="K78" i="69" s="1"/>
  <c r="J78" i="4"/>
  <c r="F78" i="4"/>
  <c r="Z1367" i="13"/>
  <c r="AV78" i="4"/>
  <c r="AV80" i="13"/>
  <c r="AM78" i="4"/>
  <c r="AV377" i="13" s="1"/>
  <c r="AV476" i="13" s="1"/>
  <c r="CS78" i="4"/>
  <c r="CT78" i="4" s="1"/>
  <c r="CW78" i="4" a="1"/>
  <c r="CW78" i="4" s="1"/>
  <c r="AV83" i="4"/>
  <c r="J83" i="4"/>
  <c r="Z1372" i="13"/>
  <c r="F83" i="4"/>
  <c r="AV85" i="13"/>
  <c r="AT83" i="4"/>
  <c r="AM83" i="4"/>
  <c r="AV382" i="13" s="1"/>
  <c r="AV481" i="13" s="1"/>
  <c r="CW83" i="4" a="1"/>
  <c r="CW83" i="4" s="1"/>
  <c r="BB1691" i="13"/>
  <c r="AW1691" i="13"/>
  <c r="BJ1691" i="13"/>
  <c r="AU1691" i="13"/>
  <c r="BG1691" i="13"/>
  <c r="BF1691" i="13"/>
  <c r="AV1691" i="13"/>
  <c r="AY1691" i="13"/>
  <c r="BC1691" i="13"/>
  <c r="BI1691" i="13"/>
  <c r="BL1691" i="13"/>
  <c r="AT1691" i="13"/>
  <c r="BM1691" i="13"/>
  <c r="AZ1691" i="13"/>
  <c r="BH1691" i="13"/>
  <c r="BD1691" i="13"/>
  <c r="BE1691" i="13"/>
  <c r="BA1691" i="13"/>
  <c r="BK1691" i="13"/>
  <c r="AO95" i="4"/>
  <c r="AN95" i="4"/>
  <c r="AX249" i="13"/>
  <c r="A348" i="13"/>
  <c r="AC28" i="69"/>
  <c r="V73" i="22"/>
  <c r="A313" i="13"/>
  <c r="AX214" i="13"/>
  <c r="BA46" i="4"/>
  <c r="BQ46" i="4"/>
  <c r="AX227" i="13"/>
  <c r="A326" i="13"/>
  <c r="AC29" i="69"/>
  <c r="AX245" i="13"/>
  <c r="A344" i="13"/>
  <c r="I241" i="15" a="1"/>
  <c r="I241" i="15" s="1"/>
  <c r="H241" i="15" a="1"/>
  <c r="H241" i="15" s="1"/>
  <c r="BQ56" i="4"/>
  <c r="AZ31" i="69"/>
  <c r="AC85" i="69"/>
  <c r="I327" i="15" a="1"/>
  <c r="I327" i="15" s="1"/>
  <c r="H327" i="15" a="1"/>
  <c r="H327" i="15" s="1"/>
  <c r="AX209" i="13"/>
  <c r="A308" i="13"/>
  <c r="A328" i="13"/>
  <c r="AX229" i="13"/>
  <c r="Y55" i="69"/>
  <c r="W96" i="22"/>
  <c r="Y96" i="22" s="1"/>
  <c r="W95" i="22"/>
  <c r="Y95" i="22" s="1"/>
  <c r="D55" i="4"/>
  <c r="BR55" i="4" a="1"/>
  <c r="BR55" i="4" s="1"/>
  <c r="W98" i="22"/>
  <c r="Y98" i="22" s="1"/>
  <c r="A55" i="20"/>
  <c r="C55" i="4"/>
  <c r="W88" i="22"/>
  <c r="Y88" i="22" s="1"/>
  <c r="W94" i="22"/>
  <c r="Y94" i="22" s="1"/>
  <c r="AZ55" i="4" a="1"/>
  <c r="AZ55" i="4" s="1"/>
  <c r="AZ96" i="4" s="1"/>
  <c r="W89" i="22"/>
  <c r="Y89" i="22" s="1"/>
  <c r="W97" i="22"/>
  <c r="Y97" i="22" s="1"/>
  <c r="BS55" i="4" a="1"/>
  <c r="BS55" i="4" s="1"/>
  <c r="W91" i="22"/>
  <c r="Y91" i="22" s="1"/>
  <c r="AP1190" i="13" a="1"/>
  <c r="AP1190" i="13" s="1"/>
  <c r="Y89" i="69"/>
  <c r="V65" i="69"/>
  <c r="J82" i="69"/>
  <c r="AT79" i="69"/>
  <c r="F47" i="14"/>
  <c r="P47" i="14" s="1"/>
  <c r="Z47" i="14" s="1"/>
  <c r="Z59" i="14" a="1"/>
  <c r="Z59" i="14" s="1"/>
  <c r="JR19" i="18" a="1"/>
  <c r="JR19" i="18" s="1"/>
  <c r="S59" i="14" a="1"/>
  <c r="S59" i="14" s="1"/>
  <c r="J95" i="69"/>
  <c r="N200" i="13" a="1"/>
  <c r="N200" i="13" s="1"/>
  <c r="AB89" i="69" a="1"/>
  <c r="AB89" i="69" s="1"/>
  <c r="AB90" i="69" a="1"/>
  <c r="AB90" i="69" s="1"/>
  <c r="E431" i="15"/>
  <c r="AU93" i="69"/>
  <c r="O14" i="27" a="1"/>
  <c r="O14" i="27" s="1"/>
  <c r="R200" i="13" a="1"/>
  <c r="R200" i="13" s="1"/>
  <c r="P58" i="23" a="1"/>
  <c r="P58" i="23" s="1"/>
  <c r="P36" i="23" s="1"/>
  <c r="AB59" i="69" a="1"/>
  <c r="AB59" i="69" s="1"/>
  <c r="AF1289" i="13" a="1"/>
  <c r="AF1289" i="13" s="1"/>
  <c r="J475" i="15"/>
  <c r="AU84" i="69"/>
  <c r="A65" i="69"/>
  <c r="E236" i="15"/>
  <c r="F235" i="15" s="1" a="1"/>
  <c r="F235" i="15" s="1"/>
  <c r="F3" i="15"/>
  <c r="J83" i="69"/>
  <c r="W200" i="13" a="1"/>
  <c r="W200" i="13" s="1"/>
  <c r="N57" i="14" a="1"/>
  <c r="N57" i="14" s="1"/>
  <c r="T200" i="13" a="1"/>
  <c r="T200" i="13" s="1"/>
  <c r="L59" i="14" a="1"/>
  <c r="L59" i="14" s="1"/>
  <c r="J58" i="14" a="1"/>
  <c r="J58" i="14" s="1"/>
  <c r="Y200" i="13" a="1"/>
  <c r="Y200" i="13" s="1"/>
  <c r="M72" i="69"/>
  <c r="H13" i="7" a="1"/>
  <c r="H13" i="7" s="1"/>
  <c r="E416" i="15"/>
  <c r="N67" i="69" a="1"/>
  <c r="N67" i="69" s="1"/>
  <c r="AU85" i="69"/>
  <c r="AK62" i="69"/>
  <c r="F50" i="14"/>
  <c r="P50" i="14" s="1"/>
  <c r="Z50" i="14" s="1"/>
  <c r="E57" i="15"/>
  <c r="U200" i="13" a="1"/>
  <c r="U200" i="13" s="1"/>
  <c r="B46" i="23"/>
  <c r="AK89" i="69"/>
  <c r="O58" i="14" a="1"/>
  <c r="O58" i="14" s="1"/>
  <c r="G57" i="23" a="1"/>
  <c r="G57" i="23" s="1"/>
  <c r="G35" i="23" s="1"/>
  <c r="AU92" i="69"/>
  <c r="T82" i="69"/>
  <c r="J489" i="15"/>
  <c r="R59" i="14" a="1"/>
  <c r="R59" i="14" s="1"/>
  <c r="AU64" i="69"/>
  <c r="W74" i="69"/>
  <c r="AU65" i="69"/>
  <c r="M73" i="69"/>
  <c r="A93" i="69"/>
  <c r="E69" i="15"/>
  <c r="Q57" i="23" a="1"/>
  <c r="Q57" i="23" s="1"/>
  <c r="Q35" i="23" s="1"/>
  <c r="A79" i="69"/>
  <c r="KA6" i="18" a="1"/>
  <c r="KA6" i="18" s="1"/>
  <c r="J85" i="69"/>
  <c r="AC73" i="69"/>
  <c r="P90" i="69"/>
  <c r="F4" i="15"/>
  <c r="J526" i="15"/>
  <c r="N66" i="69" a="1"/>
  <c r="N66" i="69" s="1"/>
  <c r="AT66" i="69"/>
  <c r="AC88" i="69"/>
  <c r="M74" i="69"/>
  <c r="Y59" i="14" a="1"/>
  <c r="Y59" i="14" s="1"/>
  <c r="I16" i="15" a="1"/>
  <c r="I16" i="15" s="1"/>
  <c r="K57" i="23" a="1"/>
  <c r="K57" i="23" s="1"/>
  <c r="K35" i="23" s="1"/>
  <c r="JU12" i="18" a="1"/>
  <c r="JU12" i="18" s="1"/>
  <c r="AC59" i="69"/>
  <c r="Y65" i="69"/>
  <c r="T95" i="69"/>
  <c r="P64" i="69"/>
  <c r="N89" i="69" a="1"/>
  <c r="N89" i="69" s="1"/>
  <c r="W55" i="69"/>
  <c r="AU59" i="69"/>
  <c r="W59" i="69"/>
  <c r="N88" i="69" a="1"/>
  <c r="N88" i="69" s="1"/>
  <c r="E350" i="15"/>
  <c r="W89" i="69"/>
  <c r="T88" i="69"/>
  <c r="Q73" i="69"/>
  <c r="E180" i="15"/>
  <c r="E153" i="15"/>
  <c r="E75" i="15"/>
  <c r="M70" i="69"/>
  <c r="Q85" i="69"/>
  <c r="KA17" i="18" a="1"/>
  <c r="KA17" i="18" s="1"/>
  <c r="J524" i="15"/>
  <c r="JR11" i="18" a="1"/>
  <c r="JR11" i="18" s="1"/>
  <c r="KA13" i="18" a="1"/>
  <c r="KA13" i="18" s="1"/>
  <c r="JU24" i="18" a="1"/>
  <c r="JU24" i="18" s="1"/>
  <c r="M85" i="69"/>
  <c r="A84" i="69"/>
  <c r="AJ82" i="69"/>
  <c r="Q82" i="69"/>
  <c r="Q83" i="69"/>
  <c r="I7" i="15" a="1"/>
  <c r="I7" i="15" s="1"/>
  <c r="AQ1289" i="13" a="1"/>
  <c r="AQ1289" i="13" s="1"/>
  <c r="L56" i="14" a="1"/>
  <c r="L56" i="14" s="1"/>
  <c r="AJ79" i="69"/>
  <c r="V82" i="69"/>
  <c r="JX33" i="18" a="1"/>
  <c r="JX33" i="18" s="1"/>
  <c r="H58" i="23" a="1"/>
  <c r="H58" i="23" s="1"/>
  <c r="H36" i="23" s="1"/>
  <c r="X56" i="14" a="1"/>
  <c r="X56" i="14" s="1"/>
  <c r="AC1289" i="13" a="1"/>
  <c r="AC1289" i="13" s="1"/>
  <c r="AJ68" i="69"/>
  <c r="Y66" i="69"/>
  <c r="B45" i="23"/>
  <c r="A91" i="69"/>
  <c r="V57" i="23" a="1"/>
  <c r="V57" i="23" s="1"/>
  <c r="V35" i="23" s="1"/>
  <c r="W63" i="69"/>
  <c r="Y68" i="69"/>
  <c r="V70" i="69"/>
  <c r="T56" i="14" a="1"/>
  <c r="T56" i="14" s="1"/>
  <c r="B45" i="14"/>
  <c r="F49" i="14"/>
  <c r="P49" i="14" s="1"/>
  <c r="Z49" i="14" s="1"/>
  <c r="V59" i="14" a="1"/>
  <c r="V59" i="14" s="1"/>
  <c r="AU91" i="69"/>
  <c r="K59" i="23" a="1"/>
  <c r="K59" i="23" s="1"/>
  <c r="E343" i="15"/>
  <c r="JX26" i="18" a="1"/>
  <c r="JX26" i="18" s="1"/>
  <c r="F7" i="15"/>
  <c r="KA30" i="18" a="1"/>
  <c r="KA30" i="18" s="1"/>
  <c r="L95" i="69"/>
  <c r="J568" i="15"/>
  <c r="T58" i="23" a="1"/>
  <c r="T58" i="23" s="1"/>
  <c r="T36" i="23" s="1"/>
  <c r="Y67" i="69"/>
  <c r="JU9" i="18" a="1"/>
  <c r="JU9" i="18" s="1"/>
  <c r="Q71" i="69"/>
  <c r="R71" i="69" s="1"/>
  <c r="JR5" i="18" a="1"/>
  <c r="JR5" i="18" s="1"/>
  <c r="JR30" i="18" a="1"/>
  <c r="JR30" i="18" s="1"/>
  <c r="A61" i="69"/>
  <c r="T80" i="69"/>
  <c r="F59" i="14" a="1"/>
  <c r="F59" i="14" s="1"/>
  <c r="AJ66" i="69"/>
  <c r="AC82" i="69"/>
  <c r="R16" i="27" a="1"/>
  <c r="R16" i="27" s="1"/>
  <c r="W82" i="69"/>
  <c r="J542" i="15"/>
  <c r="N81" i="69" a="1"/>
  <c r="N81" i="69" s="1"/>
  <c r="A72" i="69"/>
  <c r="AT87" i="69"/>
  <c r="P66" i="69"/>
  <c r="AB94" i="69" a="1"/>
  <c r="AB94" i="69" s="1"/>
  <c r="H23" i="7" a="1"/>
  <c r="H23" i="7" s="1"/>
  <c r="G67" i="69"/>
  <c r="T68" i="69"/>
  <c r="V84" i="69"/>
  <c r="J61" i="69"/>
  <c r="A88" i="69"/>
  <c r="J519" i="15"/>
  <c r="AU76" i="69"/>
  <c r="Y64" i="69"/>
  <c r="E61" i="15"/>
  <c r="E279" i="15"/>
  <c r="F279" i="15" s="1" a="1"/>
  <c r="F279" i="15" s="1"/>
  <c r="A68" i="69"/>
  <c r="W79" i="69"/>
  <c r="BM79" i="69" s="1"/>
  <c r="J74" i="69"/>
  <c r="F16" i="15"/>
  <c r="E212" i="15"/>
  <c r="F210" i="15" s="1" a="1"/>
  <c r="F210" i="15" s="1"/>
  <c r="E160" i="15"/>
  <c r="Y62" i="69"/>
  <c r="G82" i="69"/>
  <c r="BC95" i="69"/>
  <c r="KA9" i="18" a="1"/>
  <c r="KA9" i="18" s="1"/>
  <c r="E221" i="15"/>
  <c r="F215" i="15" s="1" a="1"/>
  <c r="F215" i="15" s="1"/>
  <c r="Q58" i="23" a="1"/>
  <c r="Q58" i="23" s="1"/>
  <c r="Q36" i="23" s="1"/>
  <c r="V85" i="69"/>
  <c r="T65" i="69"/>
  <c r="N76" i="69" a="1"/>
  <c r="N76" i="69" s="1"/>
  <c r="JX13" i="18" a="1"/>
  <c r="JX13" i="18" s="1"/>
  <c r="V58" i="69"/>
  <c r="B58" i="69" s="1"/>
  <c r="AJ73" i="69"/>
  <c r="AJ1190" i="13" a="1"/>
  <c r="AJ1190" i="13" s="1"/>
  <c r="AU87" i="69"/>
  <c r="F46" i="23"/>
  <c r="P46" i="23" s="1"/>
  <c r="Z46" i="23" s="1"/>
  <c r="X59" i="14" a="1"/>
  <c r="X59" i="14" s="1"/>
  <c r="I5" i="15" a="1"/>
  <c r="I5" i="15" s="1"/>
  <c r="Q67" i="69"/>
  <c r="R67" i="69" s="1"/>
  <c r="W81" i="69"/>
  <c r="AZ81" i="69" s="1"/>
  <c r="AK1190" i="13" a="1"/>
  <c r="AK1190" i="13" s="1"/>
  <c r="J545" i="15"/>
  <c r="AB1190" i="13" a="1"/>
  <c r="AB1190" i="13" s="1"/>
  <c r="B48" i="23"/>
  <c r="AB70" i="69" a="1"/>
  <c r="AB70" i="69" s="1"/>
  <c r="W92" i="69"/>
  <c r="AU72" i="69"/>
  <c r="E401" i="15"/>
  <c r="F401" i="15" s="1" a="1"/>
  <c r="F401" i="15" s="1"/>
  <c r="S57" i="14" a="1"/>
  <c r="S57" i="14" s="1"/>
  <c r="I56" i="23" a="1"/>
  <c r="I56" i="23" s="1"/>
  <c r="Z57" i="14" a="1"/>
  <c r="Z57" i="14" s="1"/>
  <c r="AB84" i="69" a="1"/>
  <c r="AB84" i="69" s="1"/>
  <c r="H57" i="23" a="1"/>
  <c r="H57" i="23" s="1"/>
  <c r="H35" i="23" s="1"/>
  <c r="H56" i="23" a="1"/>
  <c r="H56" i="23" s="1"/>
  <c r="M58" i="23" a="1"/>
  <c r="M58" i="23" s="1"/>
  <c r="M36" i="23" s="1"/>
  <c r="G57" i="14" a="1"/>
  <c r="G57" i="14" s="1"/>
  <c r="M200" i="13" a="1"/>
  <c r="M200" i="13" s="1"/>
  <c r="Z200" i="13" a="1"/>
  <c r="Z200" i="13" s="1"/>
  <c r="J480" i="15"/>
  <c r="W66" i="69"/>
  <c r="KA14" i="18" a="1"/>
  <c r="KA14" i="18" s="1"/>
  <c r="J57" i="14" a="1"/>
  <c r="J57" i="14" s="1"/>
  <c r="J490" i="15"/>
  <c r="M65" i="69"/>
  <c r="J549" i="15"/>
  <c r="G56" i="14" a="1"/>
  <c r="G56" i="14" s="1"/>
  <c r="N86" i="69" a="1"/>
  <c r="N86" i="69" s="1"/>
  <c r="B50" i="14"/>
  <c r="H59" i="14" a="1"/>
  <c r="H59" i="14" s="1"/>
  <c r="H58" i="14" a="1"/>
  <c r="H58" i="14" s="1"/>
  <c r="AT83" i="69"/>
  <c r="K200" i="13" a="1"/>
  <c r="K200" i="13" s="1"/>
  <c r="E471" i="15"/>
  <c r="J564" i="15"/>
  <c r="J551" i="15"/>
  <c r="Y90" i="69"/>
  <c r="T83" i="69"/>
  <c r="AO1190" i="13" a="1"/>
  <c r="AO1190" i="13" s="1"/>
  <c r="H24" i="7" a="1"/>
  <c r="H24" i="7" s="1"/>
  <c r="B51" i="23"/>
  <c r="JU4" i="18" a="1"/>
  <c r="JU4" i="18" s="1"/>
  <c r="N59" i="23" a="1"/>
  <c r="N59" i="23" s="1"/>
  <c r="J529" i="15"/>
  <c r="J538" i="15"/>
  <c r="JU18" i="18" a="1"/>
  <c r="JU18" i="18" s="1"/>
  <c r="JX28" i="18" a="1"/>
  <c r="JX28" i="18" s="1"/>
  <c r="E358" i="15"/>
  <c r="W57" i="14" a="1"/>
  <c r="W57" i="14" s="1"/>
  <c r="J517" i="15"/>
  <c r="S2" i="14"/>
  <c r="M78" i="69"/>
  <c r="JX22" i="18" a="1"/>
  <c r="JX22" i="18" s="1"/>
  <c r="Q70" i="69"/>
  <c r="AC95" i="69"/>
  <c r="F8" i="15"/>
  <c r="G69" i="69"/>
  <c r="M60" i="69"/>
  <c r="KA23" i="18" a="1"/>
  <c r="KA23" i="18" s="1"/>
  <c r="AC1190" i="13" a="1"/>
  <c r="AC1190" i="13" s="1"/>
  <c r="M57" i="69"/>
  <c r="P58" i="14" a="1"/>
  <c r="P58" i="14" s="1"/>
  <c r="F9" i="15"/>
  <c r="AS1190" i="13" a="1"/>
  <c r="AS1190" i="13" s="1"/>
  <c r="AK88" i="69"/>
  <c r="JX4" i="18" a="1"/>
  <c r="JX4" i="18" s="1"/>
  <c r="E132" i="15"/>
  <c r="J92" i="69"/>
  <c r="AJ94" i="69"/>
  <c r="J12" i="27" a="1"/>
  <c r="J12" i="27" s="1"/>
  <c r="Q74" i="69"/>
  <c r="K57" i="14" a="1"/>
  <c r="K57" i="14" s="1"/>
  <c r="N78" i="69" a="1"/>
  <c r="N78" i="69" s="1"/>
  <c r="AB65" i="69" a="1"/>
  <c r="AB65" i="69" s="1"/>
  <c r="J11" i="27" a="1"/>
  <c r="J11" i="27" s="1"/>
  <c r="F44" i="14"/>
  <c r="P44" i="14" s="1"/>
  <c r="Z44" i="14" s="1"/>
  <c r="K56" i="14" a="1"/>
  <c r="K56" i="14" s="1"/>
  <c r="Q80" i="69"/>
  <c r="E344" i="15"/>
  <c r="AP1289" i="13" a="1"/>
  <c r="AP1289" i="13" s="1"/>
  <c r="AK92" i="69"/>
  <c r="KA19" i="18" a="1"/>
  <c r="KA19" i="18" s="1"/>
  <c r="J515" i="15"/>
  <c r="W57" i="23" a="1"/>
  <c r="W57" i="23" s="1"/>
  <c r="W35" i="23" s="1"/>
  <c r="AK78" i="69"/>
  <c r="M56" i="69"/>
  <c r="F48" i="23"/>
  <c r="P48" i="23" s="1"/>
  <c r="Z48" i="23" s="1"/>
  <c r="W64" i="69"/>
  <c r="A82" i="69"/>
  <c r="J86" i="69"/>
  <c r="AK57" i="69"/>
  <c r="W76" i="69"/>
  <c r="KA24" i="18" a="1"/>
  <c r="KA24" i="18" s="1"/>
  <c r="JU21" i="18" a="1"/>
  <c r="JU21" i="18" s="1"/>
  <c r="M89" i="69"/>
  <c r="E379" i="15"/>
  <c r="K59" i="14" a="1"/>
  <c r="K59" i="14" s="1"/>
  <c r="Y58" i="23" a="1"/>
  <c r="Y58" i="23" s="1"/>
  <c r="Y36" i="23" s="1"/>
  <c r="Q56" i="69"/>
  <c r="J56" i="69"/>
  <c r="V86" i="69"/>
  <c r="AJ80" i="69"/>
  <c r="J73" i="69"/>
  <c r="J59" i="14" a="1"/>
  <c r="J59" i="14" s="1"/>
  <c r="A85" i="69"/>
  <c r="Y79" i="69"/>
  <c r="G88" i="69"/>
  <c r="T58" i="14" a="1"/>
  <c r="T58" i="14" s="1"/>
  <c r="I8" i="15" a="1"/>
  <c r="I8" i="15" s="1"/>
  <c r="J502" i="15"/>
  <c r="V72" i="69"/>
  <c r="AK93" i="69"/>
  <c r="AT57" i="69"/>
  <c r="J514" i="15"/>
  <c r="JX23" i="18" a="1"/>
  <c r="JX23" i="18" s="1"/>
  <c r="E295" i="15"/>
  <c r="P91" i="69"/>
  <c r="AU60" i="69"/>
  <c r="H18" i="7" a="1"/>
  <c r="H18" i="7" s="1"/>
  <c r="AU69" i="69"/>
  <c r="N68" i="69" a="1"/>
  <c r="N68" i="69" s="1"/>
  <c r="AU83" i="69"/>
  <c r="E97" i="15"/>
  <c r="AK73" i="69"/>
  <c r="W85" i="69"/>
  <c r="JU26" i="18" a="1"/>
  <c r="JU26" i="18" s="1"/>
  <c r="P63" i="69"/>
  <c r="N92" i="69" a="1"/>
  <c r="N92" i="69" s="1"/>
  <c r="G59" i="14" a="1"/>
  <c r="G59" i="14" s="1"/>
  <c r="J491" i="15"/>
  <c r="F57" i="14" a="1"/>
  <c r="F57" i="14" s="1"/>
  <c r="AK81" i="69"/>
  <c r="Y77" i="69"/>
  <c r="J72" i="69"/>
  <c r="J482" i="15"/>
  <c r="G86" i="69"/>
  <c r="E56" i="15"/>
  <c r="B44" i="14"/>
  <c r="N91" i="69" a="1"/>
  <c r="N91" i="69" s="1"/>
  <c r="KA4" i="18" a="1"/>
  <c r="KA4" i="18" s="1"/>
  <c r="Q59" i="23" a="1"/>
  <c r="Q59" i="23" s="1"/>
  <c r="M81" i="69"/>
  <c r="E400" i="15"/>
  <c r="F400" i="15" s="1" a="1"/>
  <c r="F400" i="15" s="1"/>
  <c r="J535" i="15"/>
  <c r="JR18" i="18" a="1"/>
  <c r="JR18" i="18" s="1"/>
  <c r="Y57" i="14" a="1"/>
  <c r="Y57" i="14" s="1"/>
  <c r="P58" i="69"/>
  <c r="M69" i="69"/>
  <c r="AG1289" i="13" a="1"/>
  <c r="AG1289" i="13" s="1"/>
  <c r="E62" i="15"/>
  <c r="T92" i="69"/>
  <c r="H59" i="23" a="1"/>
  <c r="H59" i="23" s="1"/>
  <c r="J533" i="15"/>
  <c r="J75" i="69"/>
  <c r="A90" i="69"/>
  <c r="B47" i="14"/>
  <c r="M80" i="69"/>
  <c r="I58" i="14" a="1"/>
  <c r="I58" i="14" s="1"/>
  <c r="E393" i="15"/>
  <c r="W58" i="69"/>
  <c r="V67" i="69"/>
  <c r="O16" i="27" a="1"/>
  <c r="O16" i="27" s="1"/>
  <c r="E256" i="15"/>
  <c r="F255" i="15" s="1" a="1"/>
  <c r="F255" i="15" s="1"/>
  <c r="AU86" i="69"/>
  <c r="J476" i="15"/>
  <c r="B49" i="23"/>
  <c r="AU80" i="69"/>
  <c r="Q59" i="14" a="1"/>
  <c r="Q59" i="14" s="1"/>
  <c r="A86" i="69"/>
  <c r="X58" i="14" a="1"/>
  <c r="X58" i="14" s="1"/>
  <c r="E164" i="15"/>
  <c r="F164" i="15" s="1" a="1"/>
  <c r="F164" i="15" s="1"/>
  <c r="Y58" i="14" a="1"/>
  <c r="Y58" i="14" s="1"/>
  <c r="F58" i="14" a="1"/>
  <c r="F58" i="14" s="1"/>
  <c r="E340" i="15"/>
  <c r="Z59" i="23" a="1"/>
  <c r="Z59" i="23" s="1"/>
  <c r="G73" i="69"/>
  <c r="AI1190" i="13" a="1"/>
  <c r="AI1190" i="13" s="1"/>
  <c r="F45" i="14"/>
  <c r="P45" i="14" s="1"/>
  <c r="Z45" i="14" s="1"/>
  <c r="G58" i="23" a="1"/>
  <c r="G58" i="23" s="1"/>
  <c r="G36" i="23" s="1"/>
  <c r="T85" i="69"/>
  <c r="H15" i="7" a="1"/>
  <c r="H15" i="7" s="1"/>
  <c r="Z56" i="23" a="1"/>
  <c r="Z56" i="23" s="1"/>
  <c r="A95" i="69"/>
  <c r="S14" i="27" a="1"/>
  <c r="S14" i="27" s="1"/>
  <c r="Y75" i="69"/>
  <c r="JU28" i="18" a="1"/>
  <c r="JU28" i="18" s="1"/>
  <c r="V69" i="69"/>
  <c r="N64" i="69" a="1"/>
  <c r="N64" i="69" s="1"/>
  <c r="JR20" i="18" a="1"/>
  <c r="JR20" i="18" s="1"/>
  <c r="E288" i="15"/>
  <c r="AB95" i="69" a="1"/>
  <c r="AB95" i="69" s="1"/>
  <c r="M66" i="69"/>
  <c r="H14" i="7" a="1"/>
  <c r="H14" i="7" s="1"/>
  <c r="J87" i="69"/>
  <c r="JX12" i="18" a="1"/>
  <c r="JX12" i="18" s="1"/>
  <c r="L58" i="23" a="1"/>
  <c r="L58" i="23" s="1"/>
  <c r="L36" i="23" s="1"/>
  <c r="N90" i="69" a="1"/>
  <c r="N90" i="69" s="1"/>
  <c r="J68" i="69"/>
  <c r="E428" i="15"/>
  <c r="A87" i="69"/>
  <c r="I200" i="13" a="1"/>
  <c r="I200" i="13" s="1"/>
  <c r="F200" i="13" a="1"/>
  <c r="F200" i="13" s="1"/>
  <c r="AH1289" i="13" a="1"/>
  <c r="AH1289" i="13" s="1"/>
  <c r="AB81" i="69" a="1"/>
  <c r="AB81" i="69" s="1"/>
  <c r="E89" i="15"/>
  <c r="J531" i="15"/>
  <c r="AU70" i="69"/>
  <c r="V56" i="23" a="1"/>
  <c r="V56" i="23" s="1"/>
  <c r="H200" i="13" a="1"/>
  <c r="H200" i="13" s="1"/>
  <c r="Y57" i="69"/>
  <c r="R58" i="23" a="1"/>
  <c r="R58" i="23" s="1"/>
  <c r="R36" i="23" s="1"/>
  <c r="Q78" i="69"/>
  <c r="K56" i="23" a="1"/>
  <c r="K56" i="23" s="1"/>
  <c r="AU66" i="69"/>
  <c r="N94" i="69" a="1"/>
  <c r="N94" i="69" s="1"/>
  <c r="I57" i="23" a="1"/>
  <c r="I57" i="23" s="1"/>
  <c r="I35" i="23" s="1"/>
  <c r="J90" i="69"/>
  <c r="O56" i="14" a="1"/>
  <c r="O56" i="14" s="1"/>
  <c r="J59" i="23" a="1"/>
  <c r="J59" i="23" s="1"/>
  <c r="M94" i="69"/>
  <c r="AI1289" i="13" a="1"/>
  <c r="AI1289" i="13" s="1"/>
  <c r="R59" i="23" a="1"/>
  <c r="R59" i="23" s="1"/>
  <c r="I59" i="23" a="1"/>
  <c r="I59" i="23" s="1"/>
  <c r="AK85" i="69"/>
  <c r="AT1190" i="13" a="1"/>
  <c r="AT1190" i="13" s="1"/>
  <c r="T93" i="69"/>
  <c r="R56" i="23" a="1"/>
  <c r="R56" i="23" s="1"/>
  <c r="Y95" i="69"/>
  <c r="P67" i="69"/>
  <c r="V64" i="69"/>
  <c r="AC67" i="69"/>
  <c r="AG1190" i="13" a="1"/>
  <c r="AG1190" i="13" s="1"/>
  <c r="J499" i="15"/>
  <c r="AK55" i="69"/>
  <c r="F14" i="15"/>
  <c r="AK95" i="69"/>
  <c r="KA5" i="18" a="1"/>
  <c r="KA5" i="18" s="1"/>
  <c r="A63" i="69"/>
  <c r="V79" i="69"/>
  <c r="Q76" i="69"/>
  <c r="T87" i="69"/>
  <c r="V73" i="69"/>
  <c r="H11" i="7" a="1"/>
  <c r="H11" i="7" s="1"/>
  <c r="P84" i="69"/>
  <c r="E58" i="15"/>
  <c r="J521" i="15"/>
  <c r="KA7" i="18" a="1"/>
  <c r="KA7" i="18" s="1"/>
  <c r="N63" i="69" a="1"/>
  <c r="N63" i="69" s="1"/>
  <c r="AK76" i="69"/>
  <c r="AU73" i="69"/>
  <c r="Q68" i="69"/>
  <c r="W94" i="69"/>
  <c r="AZ94" i="69" s="1"/>
  <c r="J513" i="15"/>
  <c r="JR32" i="18" a="1"/>
  <c r="JR32" i="18" s="1"/>
  <c r="J570" i="15"/>
  <c r="JR6" i="18" a="1"/>
  <c r="JR6" i="18" s="1"/>
  <c r="G61" i="69"/>
  <c r="E163" i="15"/>
  <c r="A75" i="69"/>
  <c r="E75" i="69" s="1"/>
  <c r="T56" i="69"/>
  <c r="N83" i="69" a="1"/>
  <c r="N83" i="69" s="1"/>
  <c r="AC91" i="69"/>
  <c r="JU20" i="18" a="1"/>
  <c r="JU20" i="18" s="1"/>
  <c r="W80" i="69"/>
  <c r="W61" i="69"/>
  <c r="V63" i="69"/>
  <c r="N61" i="69" a="1"/>
  <c r="N61" i="69" s="1"/>
  <c r="AD1190" i="13" a="1"/>
  <c r="AD1190" i="13" s="1"/>
  <c r="AE1289" i="13" a="1"/>
  <c r="AE1289" i="13" s="1"/>
  <c r="AK63" i="69"/>
  <c r="J57" i="69"/>
  <c r="AT75" i="69"/>
  <c r="F12" i="15"/>
  <c r="J55" i="69"/>
  <c r="N58" i="69" a="1"/>
  <c r="N58" i="69" s="1"/>
  <c r="W65" i="69"/>
  <c r="M61" i="69"/>
  <c r="AC68" i="69"/>
  <c r="G57" i="69"/>
  <c r="J79" i="69"/>
  <c r="J200" i="13" a="1"/>
  <c r="J200" i="13" s="1"/>
  <c r="E463" i="15"/>
  <c r="P57" i="69"/>
  <c r="M91" i="69"/>
  <c r="Q200" i="13" a="1"/>
  <c r="Q200" i="13" s="1"/>
  <c r="Q57" i="14" a="1"/>
  <c r="Q57" i="14" s="1"/>
  <c r="AK61" i="69"/>
  <c r="N93" i="69" a="1"/>
  <c r="N93" i="69" s="1"/>
  <c r="L57" i="23" a="1"/>
  <c r="L57" i="23" s="1"/>
  <c r="L35" i="23" s="1"/>
  <c r="JX5" i="18" a="1"/>
  <c r="JX5" i="18" s="1"/>
  <c r="M79" i="69"/>
  <c r="AH1190" i="13" a="1"/>
  <c r="AH1190" i="13" s="1"/>
  <c r="KA32" i="18" a="1"/>
  <c r="KA32" i="18" s="1"/>
  <c r="O57" i="14" a="1"/>
  <c r="O57" i="14" s="1"/>
  <c r="AB1289" i="13" a="1"/>
  <c r="AB1289" i="13" s="1"/>
  <c r="W62" i="69"/>
  <c r="AB74" i="69" a="1"/>
  <c r="AB74" i="69" s="1"/>
  <c r="AL1289" i="13" a="1"/>
  <c r="AL1289" i="13" s="1"/>
  <c r="AB71" i="69" a="1"/>
  <c r="AB71" i="69" s="1"/>
  <c r="M77" i="69"/>
  <c r="P79" i="69"/>
  <c r="U56" i="23" a="1"/>
  <c r="U56" i="23" s="1"/>
  <c r="AR1289" i="13" a="1"/>
  <c r="AR1289" i="13" s="1"/>
  <c r="P56" i="14" a="1"/>
  <c r="P56" i="14" s="1"/>
  <c r="E64" i="15"/>
  <c r="J563" i="15"/>
  <c r="V200" i="13" a="1"/>
  <c r="V200" i="13" s="1"/>
  <c r="J532" i="15"/>
  <c r="E80" i="15"/>
  <c r="AB68" i="69" a="1"/>
  <c r="AB68" i="69" s="1"/>
  <c r="AB56" i="69" a="1"/>
  <c r="AB56" i="69" s="1"/>
  <c r="AN1289" i="13" a="1"/>
  <c r="AN1289" i="13" s="1"/>
  <c r="X56" i="23" a="1"/>
  <c r="X56" i="23" s="1"/>
  <c r="G56" i="23" a="1"/>
  <c r="G56" i="23" s="1"/>
  <c r="W93" i="69"/>
  <c r="AU88" i="69"/>
  <c r="AT73" i="69"/>
  <c r="A56" i="69"/>
  <c r="J62" i="69"/>
  <c r="V77" i="69"/>
  <c r="JU16" i="18" a="1"/>
  <c r="JU16" i="18" s="1"/>
  <c r="AC80" i="69"/>
  <c r="AT70" i="69"/>
  <c r="N71" i="69" a="1"/>
  <c r="N71" i="69" s="1"/>
  <c r="N82" i="69" a="1"/>
  <c r="N82" i="69" s="1"/>
  <c r="E280" i="15"/>
  <c r="F280" i="15" s="1" a="1"/>
  <c r="F280" i="15" s="1"/>
  <c r="Q91" i="69"/>
  <c r="AK80" i="69"/>
  <c r="AJ69" i="69"/>
  <c r="E225" i="15"/>
  <c r="S57" i="23" a="1"/>
  <c r="S57" i="23" s="1"/>
  <c r="S35" i="23" s="1"/>
  <c r="Y86" i="69"/>
  <c r="J540" i="15"/>
  <c r="P95" i="69"/>
  <c r="P81" i="69"/>
  <c r="Q55" i="69"/>
  <c r="A58" i="69"/>
  <c r="AB79" i="69" a="1"/>
  <c r="AB79" i="69" s="1"/>
  <c r="G64" i="69"/>
  <c r="G63" i="69"/>
  <c r="AJ95" i="69"/>
  <c r="J71" i="69"/>
  <c r="AU75" i="69"/>
  <c r="AV75" i="69" s="1"/>
  <c r="W83" i="69"/>
  <c r="AU1190" i="13" a="1"/>
  <c r="AU1190" i="13" s="1"/>
  <c r="E307" i="15"/>
  <c r="F307" i="15" s="1" a="1"/>
  <c r="F307" i="15" s="1"/>
  <c r="Y82" i="69"/>
  <c r="E171" i="15"/>
  <c r="J544" i="15"/>
  <c r="M67" i="69"/>
  <c r="J88" i="69"/>
  <c r="E143" i="15"/>
  <c r="Y70" i="69"/>
  <c r="E380" i="15"/>
  <c r="V56" i="69"/>
  <c r="J497" i="15"/>
  <c r="I4" i="15" a="1"/>
  <c r="I4" i="15" s="1"/>
  <c r="L56" i="23" a="1"/>
  <c r="L56" i="23" s="1"/>
  <c r="AT65" i="69"/>
  <c r="JR33" i="18" a="1"/>
  <c r="JR33" i="18" s="1"/>
  <c r="U57" i="23" a="1"/>
  <c r="U57" i="23" s="1"/>
  <c r="U35" i="23" s="1"/>
  <c r="P57" i="14" a="1"/>
  <c r="P57" i="14" s="1"/>
  <c r="JX24" i="18" a="1"/>
  <c r="JX24" i="18" s="1"/>
  <c r="AU79" i="69"/>
  <c r="I59" i="14" a="1"/>
  <c r="I59" i="14" s="1"/>
  <c r="Y93" i="69"/>
  <c r="H56" i="14" a="1"/>
  <c r="H56" i="14" s="1"/>
  <c r="F5" i="15"/>
  <c r="I10" i="15" a="1"/>
  <c r="I10" i="15" s="1"/>
  <c r="B49" i="14"/>
  <c r="W57" i="69"/>
  <c r="A74" i="69"/>
  <c r="E115" i="15"/>
  <c r="AU90" i="69"/>
  <c r="L58" i="14" a="1"/>
  <c r="L58" i="14" s="1"/>
  <c r="V58" i="23" a="1"/>
  <c r="V58" i="23" s="1"/>
  <c r="V36" i="23" s="1"/>
  <c r="F10" i="15"/>
  <c r="E301" i="15"/>
  <c r="F300" i="15" s="1" a="1"/>
  <c r="F300" i="15" s="1"/>
  <c r="AB58" i="69" a="1"/>
  <c r="AB58" i="69" s="1"/>
  <c r="V61" i="69"/>
  <c r="AR1190" i="13" a="1"/>
  <c r="AR1190" i="13" s="1"/>
  <c r="AK67" i="69"/>
  <c r="P59" i="23" a="1"/>
  <c r="P59" i="23" s="1"/>
  <c r="AK83" i="69"/>
  <c r="Y56" i="69"/>
  <c r="Y60" i="69"/>
  <c r="G59" i="23" a="1"/>
  <c r="G59" i="23" s="1"/>
  <c r="W58" i="14" a="1"/>
  <c r="W58" i="14" s="1"/>
  <c r="JX6" i="18" a="1"/>
  <c r="JX6" i="18" s="1"/>
  <c r="U56" i="14" a="1"/>
  <c r="U56" i="14" s="1"/>
  <c r="S56" i="14" a="1"/>
  <c r="S56" i="14" s="1"/>
  <c r="J567" i="15"/>
  <c r="JU32" i="18" a="1"/>
  <c r="JU32" i="18" s="1"/>
  <c r="N56" i="23" a="1"/>
  <c r="N56" i="23" s="1"/>
  <c r="E413" i="15"/>
  <c r="F406" i="15" s="1" a="1"/>
  <c r="F406" i="15" s="1"/>
  <c r="M59" i="23" a="1"/>
  <c r="M59" i="23" s="1"/>
  <c r="V83" i="69"/>
  <c r="Q58" i="14" a="1"/>
  <c r="Q58" i="14" s="1"/>
  <c r="H57" i="14" a="1"/>
  <c r="H57" i="14" s="1"/>
  <c r="Q57" i="69"/>
  <c r="E447" i="15"/>
  <c r="F447" i="15" s="1" a="1"/>
  <c r="F447" i="15" s="1"/>
  <c r="I6" i="15" a="1"/>
  <c r="I6" i="15" s="1"/>
  <c r="J558" i="15"/>
  <c r="JU25" i="18" a="1"/>
  <c r="JU25" i="18" s="1"/>
  <c r="J57" i="23" a="1"/>
  <c r="J57" i="23" s="1"/>
  <c r="J35" i="23" s="1"/>
  <c r="Y94" i="69"/>
  <c r="E470" i="15"/>
  <c r="Y84" i="69"/>
  <c r="J494" i="15"/>
  <c r="P59" i="69"/>
  <c r="X57" i="23" a="1"/>
  <c r="X57" i="23" s="1"/>
  <c r="X35" i="23" s="1"/>
  <c r="KA27" i="18" a="1"/>
  <c r="KA27" i="18" s="1"/>
  <c r="B47" i="23"/>
  <c r="AK56" i="69"/>
  <c r="AB78" i="69" a="1"/>
  <c r="AB78" i="69" s="1"/>
  <c r="AC58" i="69"/>
  <c r="I57" i="14" a="1"/>
  <c r="I57" i="14" s="1"/>
  <c r="JX7" i="18" a="1"/>
  <c r="JX7" i="18" s="1"/>
  <c r="JX17" i="18" a="1"/>
  <c r="JX17" i="18" s="1"/>
  <c r="I3" i="15" a="1"/>
  <c r="I3" i="15" s="1"/>
  <c r="Q16" i="27" a="1"/>
  <c r="Q16" i="27" s="1"/>
  <c r="A60" i="69"/>
  <c r="AO1289" i="13" a="1"/>
  <c r="AO1289" i="13" s="1"/>
  <c r="X200" i="13" a="1"/>
  <c r="X200" i="13" s="1"/>
  <c r="J64" i="69"/>
  <c r="W90" i="69"/>
  <c r="JX30" i="18" a="1"/>
  <c r="JX30" i="18" s="1"/>
  <c r="O59" i="23" a="1"/>
  <c r="O59" i="23" s="1"/>
  <c r="Y83" i="69"/>
  <c r="AB85" i="69" a="1"/>
  <c r="AB85" i="69" s="1"/>
  <c r="JX29" i="18" a="1"/>
  <c r="JX29" i="18" s="1"/>
  <c r="I56" i="14" a="1"/>
  <c r="I56" i="14" s="1"/>
  <c r="N77" i="69" a="1"/>
  <c r="N77" i="69" s="1"/>
  <c r="J56" i="14" a="1"/>
  <c r="J56" i="14" s="1"/>
  <c r="V66" i="69"/>
  <c r="G58" i="14" a="1"/>
  <c r="G58" i="14" s="1"/>
  <c r="AK75" i="69"/>
  <c r="Y56" i="23" a="1"/>
  <c r="Y56" i="23" s="1"/>
  <c r="K58" i="23" a="1"/>
  <c r="K58" i="23" s="1"/>
  <c r="K36" i="23" s="1"/>
  <c r="Q88" i="69"/>
  <c r="V56" i="14" a="1"/>
  <c r="V56" i="14" s="1"/>
  <c r="E111" i="15"/>
  <c r="E433" i="15"/>
  <c r="F433" i="15" s="1" a="1"/>
  <c r="F433" i="15" s="1"/>
  <c r="E282" i="15"/>
  <c r="F282" i="15" s="1" a="1"/>
  <c r="F282" i="15" s="1"/>
  <c r="Q77" i="69"/>
  <c r="O59" i="14" a="1"/>
  <c r="O59" i="14" s="1"/>
  <c r="JX15" i="18" a="1"/>
  <c r="JX15" i="18" s="1"/>
  <c r="AT1289" i="13" a="1"/>
  <c r="AT1289" i="13" s="1"/>
  <c r="AK74" i="69"/>
  <c r="M88" i="69"/>
  <c r="O58" i="23" a="1"/>
  <c r="O58" i="23" s="1"/>
  <c r="O36" i="23" s="1"/>
  <c r="KA18" i="18" a="1"/>
  <c r="KA18" i="18" s="1"/>
  <c r="AK90" i="69"/>
  <c r="T94" i="69"/>
  <c r="AU57" i="69"/>
  <c r="E432" i="15"/>
  <c r="F429" i="15" s="1" a="1"/>
  <c r="F429" i="15" s="1"/>
  <c r="J67" i="69"/>
  <c r="H20" i="7" a="1"/>
  <c r="H20" i="7" s="1"/>
  <c r="Q56" i="14" a="1"/>
  <c r="Q56" i="14" s="1"/>
  <c r="P61" i="69"/>
  <c r="AJ64" i="69"/>
  <c r="J537" i="15"/>
  <c r="P82" i="69"/>
  <c r="T91" i="69"/>
  <c r="E159" i="15"/>
  <c r="AU62" i="69"/>
  <c r="AC56" i="69"/>
  <c r="T62" i="69"/>
  <c r="J508" i="15"/>
  <c r="AT61" i="69"/>
  <c r="AU77" i="69"/>
  <c r="J510" i="15"/>
  <c r="AL1190" i="13" a="1"/>
  <c r="AL1190" i="13" s="1"/>
  <c r="F11" i="15"/>
  <c r="N75" i="69" a="1"/>
  <c r="N75" i="69" s="1"/>
  <c r="W59" i="14" a="1"/>
  <c r="W59" i="14" s="1"/>
  <c r="JU14" i="18" a="1"/>
  <c r="JU14" i="18" s="1"/>
  <c r="J58" i="69"/>
  <c r="V81" i="69"/>
  <c r="Y71" i="69"/>
  <c r="AU1289" i="13" a="1"/>
  <c r="AU1289" i="13" s="1"/>
  <c r="T57" i="23" a="1"/>
  <c r="T57" i="23" s="1"/>
  <c r="T35" i="23" s="1"/>
  <c r="J522" i="15"/>
  <c r="AB69" i="69" a="1"/>
  <c r="AB69" i="69" s="1"/>
  <c r="W84" i="69"/>
  <c r="BM84" i="69" s="1"/>
  <c r="Z57" i="23" a="1"/>
  <c r="Z57" i="23" s="1"/>
  <c r="Z35" i="23" s="1"/>
  <c r="JU7" i="18" a="1"/>
  <c r="JU7" i="18" s="1"/>
  <c r="AB60" i="69" a="1"/>
  <c r="AB60" i="69" s="1"/>
  <c r="Q69" i="69"/>
  <c r="X57" i="14" a="1"/>
  <c r="X57" i="14" s="1"/>
  <c r="P87" i="69"/>
  <c r="N57" i="69" a="1"/>
  <c r="N57" i="69" s="1"/>
  <c r="E191" i="15"/>
  <c r="F191" i="15" s="1" a="1"/>
  <c r="F191" i="15" s="1"/>
  <c r="A71" i="69"/>
  <c r="JR24" i="18" a="1"/>
  <c r="JR24" i="18" s="1"/>
  <c r="KA22" i="18" a="1"/>
  <c r="KA22" i="18" s="1"/>
  <c r="J506" i="15"/>
  <c r="F44" i="23"/>
  <c r="JU11" i="18" a="1"/>
  <c r="JU11" i="18" s="1"/>
  <c r="N58" i="23" a="1"/>
  <c r="N58" i="23" s="1"/>
  <c r="N36" i="23" s="1"/>
  <c r="N57" i="23" a="1"/>
  <c r="N57" i="23" s="1"/>
  <c r="N35" i="23" s="1"/>
  <c r="J58" i="23" a="1"/>
  <c r="J58" i="23" s="1"/>
  <c r="J36" i="23" s="1"/>
  <c r="J565" i="15"/>
  <c r="F59" i="23" a="1"/>
  <c r="F59" i="23" s="1"/>
  <c r="A57" i="69"/>
  <c r="F58" i="23" a="1"/>
  <c r="F58" i="23" s="1"/>
  <c r="AJ58" i="69"/>
  <c r="KA25" i="18" a="1"/>
  <c r="KA25" i="18" s="1"/>
  <c r="E506" i="15"/>
  <c r="E476" i="15"/>
  <c r="AN1190" i="13" a="1"/>
  <c r="AN1190" i="13" s="1"/>
  <c r="AK66" i="69"/>
  <c r="V58" i="14" a="1"/>
  <c r="V58" i="14" s="1"/>
  <c r="T69" i="69"/>
  <c r="N59" i="69" a="1"/>
  <c r="N59" i="69" s="1"/>
  <c r="P57" i="23" a="1"/>
  <c r="P57" i="23" s="1"/>
  <c r="P35" i="23" s="1"/>
  <c r="R57" i="23" a="1"/>
  <c r="R57" i="23" s="1"/>
  <c r="R35" i="23" s="1"/>
  <c r="AT58" i="69"/>
  <c r="W60" i="69"/>
  <c r="B44" i="23"/>
  <c r="Q75" i="69"/>
  <c r="BM75" i="69" s="1"/>
  <c r="T73" i="69"/>
  <c r="M84" i="69"/>
  <c r="T81" i="69"/>
  <c r="AJ89" i="69"/>
  <c r="W91" i="69"/>
  <c r="J566" i="15"/>
  <c r="W72" i="69"/>
  <c r="T78" i="69"/>
  <c r="BL78" i="69" s="1"/>
  <c r="JR27" i="18" a="1"/>
  <c r="JR27" i="18" s="1"/>
  <c r="J520" i="15"/>
  <c r="J77" i="69"/>
  <c r="AB76" i="69" a="1"/>
  <c r="AB76" i="69" s="1"/>
  <c r="Y63" i="69"/>
  <c r="E224" i="15"/>
  <c r="AJ56" i="69"/>
  <c r="AC57" i="69"/>
  <c r="E92" i="15"/>
  <c r="E130" i="15"/>
  <c r="F120" i="15" s="1" a="1"/>
  <c r="F120" i="15" s="1"/>
  <c r="L57" i="14" a="1"/>
  <c r="L57" i="14" s="1"/>
  <c r="T57" i="14" a="1"/>
  <c r="T57" i="14" s="1"/>
  <c r="JU19" i="18" a="1"/>
  <c r="JU19" i="18" s="1"/>
  <c r="Q87" i="69"/>
  <c r="F56" i="14" a="1"/>
  <c r="F56" i="14" s="1"/>
  <c r="JU13" i="18" a="1"/>
  <c r="JU13" i="18" s="1"/>
  <c r="JU5" i="18" a="1"/>
  <c r="JU5" i="18" s="1"/>
  <c r="A77" i="69"/>
  <c r="F199" i="13" a="1"/>
  <c r="F199" i="13" s="1"/>
  <c r="B50" i="23"/>
  <c r="F56" i="23" a="1"/>
  <c r="F56" i="23" s="1"/>
  <c r="S59" i="23" a="1"/>
  <c r="S59" i="23" s="1"/>
  <c r="Y76" i="69"/>
  <c r="AK59" i="69"/>
  <c r="E391" i="15"/>
  <c r="E73" i="15"/>
  <c r="J492" i="15"/>
  <c r="R57" i="14" a="1"/>
  <c r="R57" i="14" s="1"/>
  <c r="Q64" i="69"/>
  <c r="J493" i="15"/>
  <c r="J496" i="15"/>
  <c r="P14" i="27" a="1"/>
  <c r="P14" i="27" s="1"/>
  <c r="AK1289" i="13" a="1"/>
  <c r="AK1289" i="13" s="1"/>
  <c r="A55" i="69"/>
  <c r="JX20" i="18" a="1"/>
  <c r="JX20" i="18" s="1"/>
  <c r="O57" i="23" a="1"/>
  <c r="O57" i="23" s="1"/>
  <c r="O35" i="23" s="1"/>
  <c r="U59" i="23" a="1"/>
  <c r="U59" i="23" s="1"/>
  <c r="AB83" i="69" a="1"/>
  <c r="AB83" i="69" s="1"/>
  <c r="L200" i="13" a="1"/>
  <c r="L200" i="13" s="1"/>
  <c r="J81" i="69"/>
  <c r="E505" i="15"/>
  <c r="N56" i="14" a="1"/>
  <c r="N56" i="14" s="1"/>
  <c r="E367" i="15"/>
  <c r="N60" i="69" a="1"/>
  <c r="N60" i="69" s="1"/>
  <c r="AV1483" i="13"/>
  <c r="W56" i="69"/>
  <c r="S200" i="13" a="1"/>
  <c r="S200" i="13" s="1"/>
  <c r="P56" i="23" a="1"/>
  <c r="P56" i="23" s="1"/>
  <c r="F47" i="23"/>
  <c r="P47" i="23" s="1"/>
  <c r="Z47" i="23" s="1"/>
  <c r="U59" i="14" a="1"/>
  <c r="U59" i="14" s="1"/>
  <c r="R14" i="27" a="1"/>
  <c r="R14" i="27" s="1"/>
  <c r="E233" i="15"/>
  <c r="F233" i="15" s="1" a="1"/>
  <c r="F233" i="15" s="1"/>
  <c r="M92" i="69"/>
  <c r="V91" i="69"/>
  <c r="V59" i="23" a="1"/>
  <c r="V59" i="23" s="1"/>
  <c r="P200" i="13" a="1"/>
  <c r="P200" i="13" s="1"/>
  <c r="AM1190" i="13" a="1"/>
  <c r="AM1190" i="13" s="1"/>
  <c r="N87" i="69" a="1"/>
  <c r="N87" i="69" s="1"/>
  <c r="E254" i="15"/>
  <c r="F250" i="15" s="1" a="1"/>
  <c r="F250" i="15" s="1"/>
  <c r="AU95" i="69"/>
  <c r="E480" i="15"/>
  <c r="F480" i="15" s="1" a="1"/>
  <c r="F480" i="15" s="1"/>
  <c r="E274" i="15"/>
  <c r="JX16" i="18" a="1"/>
  <c r="JX16" i="18" s="1"/>
  <c r="E427" i="15"/>
  <c r="G79" i="69"/>
  <c r="JX18" i="18" a="1"/>
  <c r="JX18" i="18" s="1"/>
  <c r="JR25" i="18" a="1"/>
  <c r="JR25" i="18" s="1"/>
  <c r="J541" i="15"/>
  <c r="E204" i="15"/>
  <c r="E290" i="15"/>
  <c r="E161" i="15"/>
  <c r="P86" i="69"/>
  <c r="AJ59" i="69"/>
  <c r="V95" i="69"/>
  <c r="B95" i="69" s="1"/>
  <c r="AK94" i="69"/>
  <c r="J505" i="15"/>
  <c r="E289" i="15"/>
  <c r="G85" i="69"/>
  <c r="N55" i="69" a="1"/>
  <c r="N55" i="69" s="1"/>
  <c r="U58" i="14" a="1"/>
  <c r="U58" i="14" s="1"/>
  <c r="E87" i="15"/>
  <c r="M71" i="69"/>
  <c r="Y85" i="69"/>
  <c r="T76" i="69"/>
  <c r="W95" i="69"/>
  <c r="W87" i="69"/>
  <c r="AB75" i="69" a="1"/>
  <c r="AB75" i="69" s="1"/>
  <c r="AM1289" i="13" a="1"/>
  <c r="AM1289" i="13" s="1"/>
  <c r="AB86" i="69" a="1"/>
  <c r="AB86" i="69" s="1"/>
  <c r="E475" i="15"/>
  <c r="E162" i="15"/>
  <c r="AC94" i="69"/>
  <c r="T90" i="69"/>
  <c r="JX32" i="18" a="1"/>
  <c r="JX32" i="18" s="1"/>
  <c r="JR21" i="18" a="1"/>
  <c r="JR21" i="18" s="1"/>
  <c r="J523" i="15"/>
  <c r="J556" i="15"/>
  <c r="J539" i="15"/>
  <c r="F50" i="23"/>
  <c r="P50" i="23" s="1"/>
  <c r="Z50" i="23" s="1"/>
  <c r="T64" i="69"/>
  <c r="P16" i="27" a="1"/>
  <c r="P16" i="27" s="1"/>
  <c r="Y72" i="69"/>
  <c r="Y69" i="69"/>
  <c r="M56" i="23" a="1"/>
  <c r="M56" i="23" s="1"/>
  <c r="Y59" i="23" a="1"/>
  <c r="Y59" i="23" s="1"/>
  <c r="T89" i="69"/>
  <c r="E464" i="15"/>
  <c r="N58" i="14" a="1"/>
  <c r="N58" i="14" s="1"/>
  <c r="J59" i="69"/>
  <c r="L58" i="69"/>
  <c r="AB67" i="69" a="1"/>
  <c r="AB67" i="69" s="1"/>
  <c r="U58" i="23" a="1"/>
  <c r="U58" i="23" s="1"/>
  <c r="U36" i="23" s="1"/>
  <c r="F45" i="23"/>
  <c r="P45" i="23" s="1"/>
  <c r="Z45" i="23" s="1"/>
  <c r="JR31" i="18" a="1"/>
  <c r="JR31" i="18" s="1"/>
  <c r="AB80" i="69" a="1"/>
  <c r="AB80" i="69" s="1"/>
  <c r="AB82" i="69" a="1"/>
  <c r="AB82" i="69" s="1"/>
  <c r="F15" i="15"/>
  <c r="AQ1190" i="13" a="1"/>
  <c r="AQ1190" i="13" s="1"/>
  <c r="Q90" i="69"/>
  <c r="AK86" i="69"/>
  <c r="E59" i="15"/>
  <c r="T72" i="69"/>
  <c r="Y57" i="23" a="1"/>
  <c r="Y57" i="23" s="1"/>
  <c r="Y35" i="23" s="1"/>
  <c r="Z56" i="14" a="1"/>
  <c r="Z56" i="14" s="1"/>
  <c r="J80" i="69"/>
  <c r="AF1190" i="13" a="1"/>
  <c r="AF1190" i="13" s="1"/>
  <c r="AE1190" i="13" s="1" a="1"/>
  <c r="AE1190" i="13" s="1"/>
  <c r="AK91" i="69"/>
  <c r="E205" i="15"/>
  <c r="N59" i="14" a="1"/>
  <c r="N59" i="14" s="1"/>
  <c r="V62" i="69"/>
  <c r="J503" i="15"/>
  <c r="O200" i="13" a="1"/>
  <c r="O200" i="13" s="1"/>
  <c r="S56" i="23" a="1"/>
  <c r="S56" i="23" s="1"/>
  <c r="V68" i="69"/>
  <c r="M57" i="23" a="1"/>
  <c r="M57" i="23" s="1"/>
  <c r="M35" i="23" s="1"/>
  <c r="E169" i="15"/>
  <c r="L59" i="23" a="1"/>
  <c r="L59" i="23" s="1"/>
  <c r="W56" i="14" a="1"/>
  <c r="W56" i="14" s="1"/>
  <c r="Q14" i="27" a="1"/>
  <c r="Q14" i="27" s="1"/>
  <c r="AK60" i="69"/>
  <c r="JR4" i="18" a="1"/>
  <c r="JR4" i="18" s="1"/>
  <c r="T74" i="69"/>
  <c r="F48" i="14"/>
  <c r="P48" i="14" s="1"/>
  <c r="Z48" i="14" s="1"/>
  <c r="K58" i="14" a="1"/>
  <c r="K58" i="14" s="1"/>
  <c r="M58" i="14" a="1"/>
  <c r="M58" i="14" s="1"/>
  <c r="JX31" i="18" a="1"/>
  <c r="JX31" i="18" s="1"/>
  <c r="X59" i="23" a="1"/>
  <c r="X59" i="23" s="1"/>
  <c r="AD1289" i="13" a="1"/>
  <c r="AD1289" i="13" s="1"/>
  <c r="A64" i="69"/>
  <c r="M56" i="14" a="1"/>
  <c r="M56" i="14" s="1"/>
  <c r="T57" i="69"/>
  <c r="B48" i="14"/>
  <c r="J525" i="15"/>
  <c r="I58" i="23" a="1"/>
  <c r="I58" i="23" s="1"/>
  <c r="I36" i="23" s="1"/>
  <c r="AB77" i="69" a="1"/>
  <c r="AB77" i="69" s="1"/>
  <c r="G95" i="69"/>
  <c r="JU29" i="18" a="1"/>
  <c r="JU29" i="18" s="1"/>
  <c r="Q94" i="69"/>
  <c r="E88" i="15"/>
  <c r="E170" i="15"/>
  <c r="AU68" i="69"/>
  <c r="KA31" i="18" a="1"/>
  <c r="KA31" i="18" s="1"/>
  <c r="P56" i="69"/>
  <c r="KA28" i="18" a="1"/>
  <c r="KA28" i="18" s="1"/>
  <c r="V74" i="69"/>
  <c r="J78" i="69"/>
  <c r="N74" i="69" a="1"/>
  <c r="N74" i="69" s="1"/>
  <c r="N62" i="69" a="1"/>
  <c r="N62" i="69" s="1"/>
  <c r="V57" i="69"/>
  <c r="E299" i="15"/>
  <c r="J527" i="15"/>
  <c r="J501" i="15"/>
  <c r="AT81" i="69"/>
  <c r="AJ65" i="69"/>
  <c r="AT78" i="69"/>
  <c r="Q62" i="69"/>
  <c r="E190" i="15"/>
  <c r="F185" i="15" s="1" a="1"/>
  <c r="F185" i="15" s="1"/>
  <c r="W77" i="69"/>
  <c r="A76" i="69"/>
  <c r="Q56" i="23" a="1"/>
  <c r="Q56" i="23" s="1"/>
  <c r="Q92" i="69"/>
  <c r="E323" i="15"/>
  <c r="T59" i="23" a="1"/>
  <c r="T59" i="23" s="1"/>
  <c r="BH39" i="69"/>
  <c r="BJ39" i="69" s="1"/>
  <c r="AV39" i="69"/>
  <c r="BI39" i="69" a="1"/>
  <c r="BI39" i="69" s="1"/>
  <c r="AY39" i="69"/>
  <c r="BL39" i="69"/>
  <c r="BE39" i="69" a="1"/>
  <c r="BE39" i="69" s="1"/>
  <c r="E39" i="69"/>
  <c r="R39" i="69"/>
  <c r="P74" i="69"/>
  <c r="M82" i="69"/>
  <c r="JU6" i="18" a="1"/>
  <c r="JU6" i="18" s="1"/>
  <c r="T56" i="23" a="1"/>
  <c r="T56" i="23" s="1"/>
  <c r="AB61" i="69" a="1"/>
  <c r="AB61" i="69" s="1"/>
  <c r="E266" i="15"/>
  <c r="F266" i="15" s="1" a="1"/>
  <c r="F266" i="15" s="1"/>
  <c r="W52" i="22"/>
  <c r="Y52" i="22" s="1"/>
  <c r="J543" i="15"/>
  <c r="S16" i="27" a="1"/>
  <c r="S16" i="27" s="1"/>
  <c r="E482" i="15"/>
  <c r="F482" i="15" s="1" a="1"/>
  <c r="F482" i="15" s="1"/>
  <c r="V89" i="69"/>
  <c r="I9" i="15" a="1"/>
  <c r="I9" i="15" s="1"/>
  <c r="J56" i="23" a="1"/>
  <c r="J56" i="23" s="1"/>
  <c r="F49" i="23"/>
  <c r="P49" i="23" s="1"/>
  <c r="Z49" i="23" s="1"/>
  <c r="AC79" i="69"/>
  <c r="F79" i="4"/>
  <c r="BO79" i="4" s="1"/>
  <c r="AV79" i="4"/>
  <c r="Z1368" i="13"/>
  <c r="AT79" i="4"/>
  <c r="J79" i="4"/>
  <c r="AV81" i="13"/>
  <c r="AM79" i="4"/>
  <c r="AV378" i="13" s="1"/>
  <c r="AV477" i="13" s="1"/>
  <c r="CW79" i="4" a="1"/>
  <c r="CW79" i="4" s="1"/>
  <c r="CS79" i="4"/>
  <c r="CT79" i="4" s="1"/>
  <c r="AT84" i="4"/>
  <c r="K84" i="69" s="1" a="1"/>
  <c r="K84" i="69" s="1"/>
  <c r="Z1373" i="13"/>
  <c r="AV84" i="4"/>
  <c r="F84" i="4"/>
  <c r="BO84" i="4" s="1"/>
  <c r="AV86" i="13"/>
  <c r="J84" i="4"/>
  <c r="AM84" i="4"/>
  <c r="AV383" i="13" s="1"/>
  <c r="AV482" i="13" s="1"/>
  <c r="BA17" i="4"/>
  <c r="BQ17" i="4"/>
  <c r="BM14" i="69"/>
  <c r="BQ38" i="4"/>
  <c r="Z1294" i="13"/>
  <c r="J5" i="4"/>
  <c r="F5" i="4"/>
  <c r="U5" i="4" s="1"/>
  <c r="AT5" i="4"/>
  <c r="AV7" i="13"/>
  <c r="AV5" i="4"/>
  <c r="AM5" i="4"/>
  <c r="AV304" i="13" s="1"/>
  <c r="AV403" i="13" s="1"/>
  <c r="V15" i="22"/>
  <c r="W15" i="22"/>
  <c r="Y15" i="22" s="1"/>
  <c r="AC5" i="69"/>
  <c r="CS5" i="4"/>
  <c r="CT5" i="4" s="1"/>
  <c r="AZ5" i="69"/>
  <c r="CW5" i="4" a="1"/>
  <c r="CW5" i="4" s="1"/>
  <c r="AV10" i="4"/>
  <c r="AV12" i="13"/>
  <c r="J10" i="4"/>
  <c r="BX10" i="4" s="1"/>
  <c r="Z1299" i="13"/>
  <c r="AT10" i="4"/>
  <c r="F10" i="4"/>
  <c r="AM10" i="4"/>
  <c r="AV309" i="13" s="1"/>
  <c r="AV408" i="13" s="1"/>
  <c r="AC10" i="69"/>
  <c r="V20" i="22"/>
  <c r="W20" i="22"/>
  <c r="Y20" i="22" s="1"/>
  <c r="AZ10" i="69"/>
  <c r="CW10" i="4" a="1"/>
  <c r="CW10" i="4" s="1"/>
  <c r="BA78" i="4"/>
  <c r="A382" i="13"/>
  <c r="AX283" i="13"/>
  <c r="F24" i="4"/>
  <c r="U24" i="4" s="1"/>
  <c r="Z1313" i="13"/>
  <c r="AT24" i="4"/>
  <c r="AV26" i="13"/>
  <c r="J24" i="4"/>
  <c r="BX24" i="4" s="1"/>
  <c r="AV24" i="4"/>
  <c r="AM24" i="4"/>
  <c r="AV323" i="13" s="1"/>
  <c r="AV422" i="13" s="1"/>
  <c r="CW24" i="4" a="1"/>
  <c r="CW24" i="4" s="1"/>
  <c r="CS24" i="4"/>
  <c r="CT24" i="4" s="1"/>
  <c r="AC24" i="69"/>
  <c r="AZ24" i="69"/>
  <c r="BQ80" i="4"/>
  <c r="J7" i="4"/>
  <c r="BX7" i="4" s="1"/>
  <c r="Z1296" i="13"/>
  <c r="F7" i="4"/>
  <c r="U7" i="4" s="1"/>
  <c r="AT7" i="4"/>
  <c r="AV7" i="4"/>
  <c r="AV9" i="13"/>
  <c r="AM7" i="4"/>
  <c r="AV306" i="13" s="1"/>
  <c r="AV405" i="13" s="1"/>
  <c r="W28" i="22"/>
  <c r="Y28" i="22" s="1"/>
  <c r="AC7" i="69"/>
  <c r="V28" i="22"/>
  <c r="AZ7" i="69"/>
  <c r="CW7" i="4" a="1"/>
  <c r="CW7" i="4" s="1"/>
  <c r="CW52" i="4" a="1"/>
  <c r="CW52" i="4" s="1"/>
  <c r="AV52" i="4"/>
  <c r="AV54" i="13"/>
  <c r="Z1341" i="13"/>
  <c r="J52" i="4"/>
  <c r="F52" i="4"/>
  <c r="BO52" i="4" s="1"/>
  <c r="AT52" i="4"/>
  <c r="AM52" i="4"/>
  <c r="AV351" i="13" s="1"/>
  <c r="AV450" i="13" s="1"/>
  <c r="CS52" i="4"/>
  <c r="CT52" i="4" s="1"/>
  <c r="AC52" i="69"/>
  <c r="AC34" i="69"/>
  <c r="AT34" i="4"/>
  <c r="AV34" i="4"/>
  <c r="J34" i="4"/>
  <c r="F34" i="4"/>
  <c r="BO34" i="4" s="1"/>
  <c r="Z1323" i="13"/>
  <c r="AV36" i="13"/>
  <c r="AM34" i="4"/>
  <c r="AV333" i="13" s="1"/>
  <c r="AV432" i="13" s="1"/>
  <c r="CW34" i="4" a="1"/>
  <c r="CW34" i="4" s="1"/>
  <c r="V37" i="22"/>
  <c r="AX215" i="13"/>
  <c r="A314" i="13"/>
  <c r="J9" i="4"/>
  <c r="BX9" i="4" s="1"/>
  <c r="Z1298" i="13"/>
  <c r="F9" i="4"/>
  <c r="AT9" i="4"/>
  <c r="AV9" i="4"/>
  <c r="AV11" i="13"/>
  <c r="AM9" i="4"/>
  <c r="AV308" i="13" s="1"/>
  <c r="AV407" i="13" s="1"/>
  <c r="CS9" i="4"/>
  <c r="CT9" i="4" s="1"/>
  <c r="V19" i="22"/>
  <c r="AC9" i="69"/>
  <c r="W19" i="22"/>
  <c r="Y19" i="22" s="1"/>
  <c r="AZ9" i="69"/>
  <c r="AX216" i="13"/>
  <c r="A315" i="13"/>
  <c r="AT37" i="4"/>
  <c r="AV37" i="4"/>
  <c r="F37" i="4"/>
  <c r="BO37" i="4" s="1"/>
  <c r="J37" i="4"/>
  <c r="BX37" i="4" s="1"/>
  <c r="Z1326" i="13"/>
  <c r="AV39" i="13"/>
  <c r="AM37" i="4"/>
  <c r="AV336" i="13" s="1"/>
  <c r="AV435" i="13" s="1"/>
  <c r="CW37" i="4" a="1"/>
  <c r="CW37" i="4" s="1"/>
  <c r="CS37" i="4"/>
  <c r="CT37" i="4" s="1"/>
  <c r="AZ37" i="69"/>
  <c r="AC37" i="69"/>
  <c r="BA63" i="4"/>
  <c r="BQ63" i="4"/>
  <c r="F15" i="4"/>
  <c r="BO15" i="4" s="1"/>
  <c r="AT15" i="4"/>
  <c r="Z1304" i="13"/>
  <c r="J15" i="4"/>
  <c r="AV17" i="13"/>
  <c r="AV15" i="4"/>
  <c r="AM15" i="4"/>
  <c r="AV314" i="13" s="1"/>
  <c r="AV413" i="13" s="1"/>
  <c r="V13" i="22"/>
  <c r="W13" i="22"/>
  <c r="Y13" i="22" s="1"/>
  <c r="AC15" i="69"/>
  <c r="CW15" i="4" a="1"/>
  <c r="CW15" i="4" s="1"/>
  <c r="CS15" i="4"/>
  <c r="CT15" i="4" s="1"/>
  <c r="AZ15" i="69"/>
  <c r="J62" i="4"/>
  <c r="BX62" i="4" s="1"/>
  <c r="Z1351" i="13"/>
  <c r="AV64" i="13"/>
  <c r="AV62" i="4"/>
  <c r="F62" i="4"/>
  <c r="U62" i="4" s="1"/>
  <c r="AT62" i="4"/>
  <c r="AM62" i="4"/>
  <c r="AV361" i="13" s="1"/>
  <c r="AV460" i="13" s="1"/>
  <c r="CW62" i="4" a="1"/>
  <c r="CW62" i="4" s="1"/>
  <c r="Z1295" i="13"/>
  <c r="J6" i="4"/>
  <c r="F6" i="4"/>
  <c r="AT6" i="4"/>
  <c r="AV8" i="13"/>
  <c r="AV6" i="4"/>
  <c r="AM6" i="4"/>
  <c r="AV305" i="13" s="1"/>
  <c r="AV404" i="13" s="1"/>
  <c r="CW6" i="4" a="1"/>
  <c r="CW6" i="4" s="1"/>
  <c r="CS6" i="4"/>
  <c r="CT6" i="4" s="1"/>
  <c r="V16" i="22"/>
  <c r="AZ6" i="69"/>
  <c r="AC6" i="69"/>
  <c r="W16" i="22"/>
  <c r="Y16" i="22" s="1"/>
  <c r="AX225" i="13"/>
  <c r="A324" i="13"/>
  <c r="A387" i="13"/>
  <c r="AX288" i="13"/>
  <c r="A358" i="13"/>
  <c r="AX259" i="13"/>
  <c r="R19" i="69"/>
  <c r="AV54" i="4"/>
  <c r="F54" i="4"/>
  <c r="BO54" i="4" s="1"/>
  <c r="J54" i="4"/>
  <c r="AV56" i="13"/>
  <c r="AT54" i="4"/>
  <c r="Z1343" i="13"/>
  <c r="AM54" i="4"/>
  <c r="AV353" i="13" s="1"/>
  <c r="AV452" i="13" s="1"/>
  <c r="CW54" i="4" a="1"/>
  <c r="CW54" i="4" s="1"/>
  <c r="AZ54" i="69"/>
  <c r="AC54" i="69"/>
  <c r="A346" i="13"/>
  <c r="AX247" i="13"/>
  <c r="BK23" i="69"/>
  <c r="I437" i="15" a="1"/>
  <c r="I437" i="15" s="1"/>
  <c r="H437" i="15" a="1"/>
  <c r="H437" i="15" s="1"/>
  <c r="G58" i="69"/>
  <c r="W38" i="22"/>
  <c r="Y38" i="22" s="1"/>
  <c r="A333" i="13"/>
  <c r="AX234" i="13"/>
  <c r="AZ32" i="69"/>
  <c r="AC76" i="69"/>
  <c r="AC33" i="69"/>
  <c r="BQ32" i="4"/>
  <c r="BK28" i="69"/>
  <c r="W66" i="22"/>
  <c r="Y66" i="22" s="1"/>
  <c r="I228" i="15" a="1"/>
  <c r="I228" i="15" s="1"/>
  <c r="H228" i="15" a="1"/>
  <c r="H228" i="15" s="1"/>
  <c r="H439" i="15" a="1"/>
  <c r="H439" i="15" s="1"/>
  <c r="I439" i="15" a="1"/>
  <c r="I439" i="15" s="1"/>
  <c r="AC30" i="69"/>
  <c r="BQ81" i="4"/>
  <c r="BA64" i="4"/>
  <c r="U64" i="4" s="1"/>
  <c r="BQ64" i="4"/>
  <c r="I22" i="27"/>
  <c r="P20" i="27"/>
  <c r="D16" i="27"/>
  <c r="I21" i="27"/>
  <c r="B19" i="27" a="1"/>
  <c r="B19" i="27" s="1"/>
  <c r="AQ23" i="69" a="1"/>
  <c r="AQ23" i="69" s="1"/>
  <c r="V71" i="69"/>
  <c r="V90" i="69"/>
  <c r="V88" i="69"/>
  <c r="Y74" i="69"/>
  <c r="AT95" i="69"/>
  <c r="JU17" i="18" a="1"/>
  <c r="JU17" i="18" s="1"/>
  <c r="M83" i="69"/>
  <c r="P68" i="69"/>
  <c r="E271" i="15"/>
  <c r="N85" i="69" a="1"/>
  <c r="N85" i="69" s="1"/>
  <c r="J66" i="69"/>
  <c r="E381" i="15"/>
  <c r="P80" i="69"/>
  <c r="T66" i="69"/>
  <c r="J560" i="15"/>
  <c r="M75" i="69"/>
  <c r="P71" i="69"/>
  <c r="AX71" i="69" s="1"/>
  <c r="J554" i="15"/>
  <c r="AV51" i="4"/>
  <c r="AT51" i="4"/>
  <c r="J51" i="4"/>
  <c r="AV53" i="13"/>
  <c r="Z1340" i="13"/>
  <c r="F51" i="4"/>
  <c r="BO51" i="4" s="1"/>
  <c r="AM51" i="4"/>
  <c r="AV350" i="13" s="1"/>
  <c r="AV449" i="13" s="1"/>
  <c r="CW51" i="4" a="1"/>
  <c r="CW51" i="4" s="1"/>
  <c r="CS51" i="4"/>
  <c r="CT51" i="4" s="1"/>
  <c r="W71" i="22"/>
  <c r="Y71" i="22" s="1"/>
  <c r="AQ51" i="69" a="1"/>
  <c r="AQ51" i="69" s="1"/>
  <c r="AE51" i="69" a="1"/>
  <c r="AE51" i="69" s="1"/>
  <c r="BF51" i="69" s="1" a="1"/>
  <c r="BF51" i="69" s="1"/>
  <c r="AT86" i="4"/>
  <c r="AV86" i="4"/>
  <c r="AV88" i="13"/>
  <c r="F86" i="4"/>
  <c r="U86" i="4" s="1"/>
  <c r="Z1375" i="13"/>
  <c r="J86" i="4"/>
  <c r="BX86" i="4" s="1"/>
  <c r="AM86" i="4"/>
  <c r="AV385" i="13" s="1"/>
  <c r="AV484" i="13" s="1"/>
  <c r="CW86" i="4" a="1"/>
  <c r="CW86" i="4" s="1"/>
  <c r="CS86" i="4"/>
  <c r="CT86" i="4" s="1"/>
  <c r="BM18" i="69"/>
  <c r="AV21" i="13"/>
  <c r="AV19" i="4"/>
  <c r="Z1308" i="13"/>
  <c r="J19" i="4"/>
  <c r="AT19" i="4"/>
  <c r="F19" i="4"/>
  <c r="U19" i="4" s="1"/>
  <c r="AM19" i="4"/>
  <c r="AV318" i="13" s="1"/>
  <c r="AV417" i="13" s="1"/>
  <c r="CW19" i="4" a="1"/>
  <c r="CW19" i="4" s="1"/>
  <c r="AZ19" i="69"/>
  <c r="V29" i="22"/>
  <c r="AC19" i="69"/>
  <c r="W29" i="22"/>
  <c r="Y29" i="22" s="1"/>
  <c r="AV5" i="13"/>
  <c r="AV3" i="4"/>
  <c r="J3" i="4"/>
  <c r="BX3" i="4" s="1"/>
  <c r="AT3" i="4"/>
  <c r="F3" i="4"/>
  <c r="BO3" i="4" s="1"/>
  <c r="Z1292" i="13"/>
  <c r="AM3" i="4"/>
  <c r="CW3" i="4" a="1"/>
  <c r="CW3" i="4" s="1"/>
  <c r="CS3" i="4"/>
  <c r="CT3" i="4" s="1"/>
  <c r="W17" i="22"/>
  <c r="Y17" i="22" s="1"/>
  <c r="AZ3" i="69"/>
  <c r="AC3" i="69"/>
  <c r="V17" i="22"/>
  <c r="A317" i="13"/>
  <c r="AX218" i="13"/>
  <c r="R18" i="69"/>
  <c r="BG4" i="69"/>
  <c r="BQ67" i="4"/>
  <c r="AX239" i="13"/>
  <c r="A338" i="13"/>
  <c r="AV75" i="13"/>
  <c r="J73" i="4"/>
  <c r="F73" i="4"/>
  <c r="U73" i="4" s="1"/>
  <c r="AV73" i="4"/>
  <c r="AT73" i="4"/>
  <c r="Z1362" i="13"/>
  <c r="AM73" i="4"/>
  <c r="AV372" i="13" s="1"/>
  <c r="AV471" i="13" s="1"/>
  <c r="CW73" i="4" a="1"/>
  <c r="CW73" i="4" s="1"/>
  <c r="AV81" i="4"/>
  <c r="AT81" i="4"/>
  <c r="AV83" i="13"/>
  <c r="J81" i="4"/>
  <c r="Z1370" i="13"/>
  <c r="F81" i="4"/>
  <c r="BO81" i="4" s="1"/>
  <c r="AM81" i="4"/>
  <c r="AV380" i="13" s="1"/>
  <c r="AV479" i="13" s="1"/>
  <c r="CW81" i="4" a="1"/>
  <c r="CW81" i="4" s="1"/>
  <c r="AT35" i="4"/>
  <c r="AV35" i="4"/>
  <c r="F35" i="4"/>
  <c r="U35" i="4" s="1"/>
  <c r="AV37" i="13"/>
  <c r="Z1324" i="13"/>
  <c r="J35" i="4"/>
  <c r="AM35" i="4"/>
  <c r="AV334" i="13" s="1"/>
  <c r="AV433" i="13" s="1"/>
  <c r="CW35" i="4" a="1"/>
  <c r="CW35" i="4" s="1"/>
  <c r="CS35" i="4"/>
  <c r="CT35" i="4" s="1"/>
  <c r="V52" i="22"/>
  <c r="AQ35" i="69" a="1"/>
  <c r="AQ35" i="69" s="1"/>
  <c r="AT56" i="4"/>
  <c r="K56" i="69" s="1" a="1"/>
  <c r="K56" i="69" s="1"/>
  <c r="AV58" i="13"/>
  <c r="AV56" i="4"/>
  <c r="F56" i="4"/>
  <c r="U56" i="4" s="1"/>
  <c r="Z1345" i="13"/>
  <c r="J56" i="4"/>
  <c r="BX56" i="4" s="1"/>
  <c r="AM56" i="4"/>
  <c r="AV355" i="13" s="1"/>
  <c r="AV454" i="13" s="1"/>
  <c r="CW56" i="4" a="1"/>
  <c r="CW56" i="4" s="1"/>
  <c r="AC84" i="69"/>
  <c r="BQ39" i="4"/>
  <c r="AX256" i="13"/>
  <c r="A355" i="13"/>
  <c r="BK34" i="69"/>
  <c r="AX252" i="13"/>
  <c r="A351" i="13"/>
  <c r="A331" i="13"/>
  <c r="AX232" i="13"/>
  <c r="V71" i="22"/>
  <c r="V50" i="22"/>
  <c r="BQ59" i="4"/>
  <c r="BK53" i="69"/>
  <c r="AW53" i="69"/>
  <c r="A340" i="13"/>
  <c r="AX241" i="13"/>
  <c r="V40" i="22"/>
  <c r="BA6" i="4"/>
  <c r="BQ6" i="4"/>
  <c r="BQ22" i="4"/>
  <c r="AZ27" i="69"/>
  <c r="AC40" i="69"/>
  <c r="AX246" i="13"/>
  <c r="A345" i="13"/>
  <c r="AC39" i="69"/>
  <c r="I240" i="15" a="1"/>
  <c r="I240" i="15" s="1"/>
  <c r="H240" i="15" a="1"/>
  <c r="H240" i="15" s="1"/>
  <c r="F349" i="15" a="1"/>
  <c r="F349" i="15" s="1"/>
  <c r="I399" i="15" a="1"/>
  <c r="I399" i="15" s="1"/>
  <c r="H399" i="15" a="1"/>
  <c r="H399" i="15" s="1"/>
  <c r="V66" i="22"/>
  <c r="P83" i="69"/>
  <c r="JR17" i="18" a="1"/>
  <c r="JR17" i="18" s="1"/>
  <c r="AJ67" i="69"/>
  <c r="AZ23" i="69"/>
  <c r="E423" i="15"/>
  <c r="F423" i="15" s="1" a="1"/>
  <c r="F423" i="15" s="1"/>
  <c r="T67" i="69"/>
  <c r="A353" i="13"/>
  <c r="AX254" i="13"/>
  <c r="A376" i="13"/>
  <c r="AX277" i="13"/>
  <c r="AT77" i="4"/>
  <c r="K77" i="69" s="1" a="1"/>
  <c r="K77" i="69" s="1"/>
  <c r="AV79" i="13"/>
  <c r="Z1366" i="13"/>
  <c r="F77" i="4"/>
  <c r="BO77" i="4" s="1"/>
  <c r="J77" i="4"/>
  <c r="BX77" i="4" s="1"/>
  <c r="AV77" i="4"/>
  <c r="AM77" i="4"/>
  <c r="AV376" i="13" s="1"/>
  <c r="AV475" i="13" s="1"/>
  <c r="CS77" i="4"/>
  <c r="CT77" i="4" s="1"/>
  <c r="CW77" i="4" a="1"/>
  <c r="CW77" i="4" s="1"/>
  <c r="AX224" i="13"/>
  <c r="A323" i="13"/>
  <c r="A319" i="13"/>
  <c r="AX220" i="13"/>
  <c r="AC92" i="69"/>
  <c r="AT92" i="4"/>
  <c r="AV92" i="4"/>
  <c r="AV94" i="13"/>
  <c r="Z1381" i="13"/>
  <c r="F92" i="4"/>
  <c r="BO92" i="4" s="1"/>
  <c r="J92" i="4"/>
  <c r="AM92" i="4"/>
  <c r="AV391" i="13" s="1"/>
  <c r="AV490" i="13" s="1"/>
  <c r="CW92" i="4" a="1"/>
  <c r="CW92" i="4" s="1"/>
  <c r="CS92" i="4"/>
  <c r="CT92" i="4" s="1"/>
  <c r="BM20" i="69"/>
  <c r="BM10" i="69"/>
  <c r="BA8" i="4"/>
  <c r="BO8" i="4" s="1"/>
  <c r="R20" i="69"/>
  <c r="BA71" i="4"/>
  <c r="BQ51" i="4"/>
  <c r="AX278" i="13"/>
  <c r="A377" i="13"/>
  <c r="Z1380" i="13"/>
  <c r="J91" i="4"/>
  <c r="AV93" i="13"/>
  <c r="AV91" i="4"/>
  <c r="F91" i="4"/>
  <c r="U91" i="4" s="1"/>
  <c r="AT91" i="4"/>
  <c r="AM91" i="4"/>
  <c r="AV390" i="13" s="1"/>
  <c r="AV489" i="13" s="1"/>
  <c r="CW91" i="4" a="1"/>
  <c r="CW91" i="4" s="1"/>
  <c r="CS91" i="4"/>
  <c r="CT91" i="4" s="1"/>
  <c r="J45" i="4"/>
  <c r="AV47" i="13"/>
  <c r="AV45" i="4"/>
  <c r="F45" i="4"/>
  <c r="BO45" i="4" s="1"/>
  <c r="Z1334" i="13"/>
  <c r="AT45" i="4"/>
  <c r="AM45" i="4"/>
  <c r="AV344" i="13" s="1"/>
  <c r="AV443" i="13" s="1"/>
  <c r="CS45" i="4"/>
  <c r="CT45" i="4" s="1"/>
  <c r="CW45" i="4" a="1"/>
  <c r="CW45" i="4" s="1"/>
  <c r="V64" i="22"/>
  <c r="BK45" i="69"/>
  <c r="AC45" i="69"/>
  <c r="BQ25" i="4"/>
  <c r="AX211" i="13"/>
  <c r="A310" i="13"/>
  <c r="AV71" i="4"/>
  <c r="F71" i="4"/>
  <c r="J71" i="4"/>
  <c r="AT71" i="4"/>
  <c r="AV73" i="13"/>
  <c r="Z1360" i="13"/>
  <c r="AM71" i="4"/>
  <c r="AV370" i="13" s="1"/>
  <c r="AV469" i="13" s="1"/>
  <c r="CW71" i="4" a="1"/>
  <c r="CW71" i="4" s="1"/>
  <c r="CS71" i="4"/>
  <c r="CT71" i="4" s="1"/>
  <c r="R10" i="69"/>
  <c r="AV66" i="4"/>
  <c r="J66" i="4"/>
  <c r="AV68" i="13"/>
  <c r="F66" i="4"/>
  <c r="U66" i="4" s="1"/>
  <c r="Z1355" i="13"/>
  <c r="AT66" i="4"/>
  <c r="AM66" i="4"/>
  <c r="AV365" i="13" s="1"/>
  <c r="AV464" i="13" s="1"/>
  <c r="CS66" i="4"/>
  <c r="CT66" i="4" s="1"/>
  <c r="CW66" i="4" a="1"/>
  <c r="CW66" i="4" s="1"/>
  <c r="BQ68" i="4"/>
  <c r="BQ40" i="4"/>
  <c r="BQ86" i="4"/>
  <c r="BQ82" i="4"/>
  <c r="BV60" i="4" a="1"/>
  <c r="BV60" i="4" s="1"/>
  <c r="BW60" i="4" a="1"/>
  <c r="BW60" i="4" s="1"/>
  <c r="BU60" i="4" s="1" a="1"/>
  <c r="BU60" i="4" s="1"/>
  <c r="A381" i="13"/>
  <c r="AX282" i="13"/>
  <c r="A385" i="13"/>
  <c r="AX286" i="13"/>
  <c r="BA33" i="4"/>
  <c r="BO33" i="4" s="1"/>
  <c r="BK43" i="69"/>
  <c r="AW43" i="69"/>
  <c r="AX210" i="13"/>
  <c r="A309" i="13"/>
  <c r="V36" i="22"/>
  <c r="BK33" i="69"/>
  <c r="AX272" i="13"/>
  <c r="A371" i="13"/>
  <c r="BA9" i="4"/>
  <c r="AC53" i="69"/>
  <c r="W72" i="22"/>
  <c r="Y72" i="22" s="1"/>
  <c r="BJ4" i="4"/>
  <c r="BB4" i="4" s="1" a="1"/>
  <c r="BB4" i="4" s="1"/>
  <c r="BA4" i="69"/>
  <c r="A380" i="13"/>
  <c r="AX281" i="13"/>
  <c r="F35" i="23"/>
  <c r="V43" i="22"/>
  <c r="I268" i="15" a="1"/>
  <c r="I268" i="15" s="1"/>
  <c r="H268" i="15" a="1"/>
  <c r="H268" i="15" s="1"/>
  <c r="V42" i="22"/>
  <c r="E71" i="69"/>
  <c r="AY71" i="69"/>
  <c r="BH71" i="69"/>
  <c r="BJ71" i="69" s="1"/>
  <c r="BL71" i="69"/>
  <c r="BI71" i="69" a="1"/>
  <c r="BI71" i="69" s="1"/>
  <c r="BE71" i="69" a="1"/>
  <c r="BE71" i="69" s="1"/>
  <c r="AW41" i="69"/>
  <c r="W47" i="22"/>
  <c r="Y47" i="22" s="1"/>
  <c r="AC25" i="69"/>
  <c r="BQ31" i="4"/>
  <c r="BA31" i="4"/>
  <c r="BQ37" i="4"/>
  <c r="AZ70" i="69"/>
  <c r="W87" i="22"/>
  <c r="Y87" i="22" s="1"/>
  <c r="BA10" i="4"/>
  <c r="BQ10" i="4"/>
  <c r="AZ25" i="69"/>
  <c r="A221" i="13"/>
  <c r="AX122" i="13"/>
  <c r="BA93" i="4"/>
  <c r="BQ93" i="4"/>
  <c r="J10" i="27"/>
  <c r="G15" i="27" s="1" a="1"/>
  <c r="G15" i="27" s="1"/>
  <c r="A2" i="27"/>
  <c r="E73" i="69"/>
  <c r="BH73" i="69"/>
  <c r="BJ73" i="69" s="1"/>
  <c r="AY73" i="69"/>
  <c r="V72" i="22"/>
  <c r="T95" i="4"/>
  <c r="Z1681" i="13"/>
  <c r="S95" i="4"/>
  <c r="BM51" i="69"/>
  <c r="N73" i="69" a="1"/>
  <c r="N73" i="69" s="1"/>
  <c r="AW30" i="69"/>
  <c r="W1" i="14"/>
  <c r="AB57" i="69" a="1"/>
  <c r="AB57" i="69" s="1"/>
  <c r="AJ78" i="69"/>
  <c r="R58" i="14" a="1"/>
  <c r="R58" i="14" s="1"/>
  <c r="I209" i="15" a="1"/>
  <c r="I209" i="15" s="1"/>
  <c r="H209" i="15" a="1"/>
  <c r="H209" i="15" s="1"/>
  <c r="AV24" i="69"/>
  <c r="BE24" i="69" a="1"/>
  <c r="BE24" i="69" s="1"/>
  <c r="BI24" i="69" a="1"/>
  <c r="BI24" i="69" s="1"/>
  <c r="AY24" i="69"/>
  <c r="R24" i="69"/>
  <c r="BH24" i="69"/>
  <c r="BJ24" i="69" s="1"/>
  <c r="BL24" i="69"/>
  <c r="E24" i="69"/>
  <c r="AY46" i="69"/>
  <c r="BI46" i="69" a="1"/>
  <c r="BI46" i="69" s="1"/>
  <c r="AV46" i="69"/>
  <c r="BL46" i="69"/>
  <c r="BH46" i="69"/>
  <c r="BJ46" i="69" s="1"/>
  <c r="R46" i="69"/>
  <c r="E46" i="69"/>
  <c r="BE46" i="69" a="1"/>
  <c r="BE46" i="69" s="1"/>
  <c r="H442" i="15" a="1"/>
  <c r="H442" i="15" s="1"/>
  <c r="I442" i="15" a="1"/>
  <c r="I442" i="15" s="1"/>
  <c r="AW22" i="69"/>
  <c r="BM41" i="69"/>
  <c r="R42" i="69"/>
  <c r="BI42" i="69" a="1"/>
  <c r="BI42" i="69" s="1"/>
  <c r="BL42" i="69"/>
  <c r="AV42" i="69"/>
  <c r="BE42" i="69" a="1"/>
  <c r="BE42" i="69" s="1"/>
  <c r="BH42" i="69"/>
  <c r="BJ42" i="69" s="1"/>
  <c r="E42" i="69"/>
  <c r="AY42" i="69"/>
  <c r="AV53" i="69"/>
  <c r="BI53" i="69" a="1"/>
  <c r="BI53" i="69" s="1"/>
  <c r="AY53" i="69"/>
  <c r="BH53" i="69"/>
  <c r="BJ53" i="69" s="1"/>
  <c r="E53" i="69"/>
  <c r="BE53" i="69" a="1"/>
  <c r="BE53" i="69" s="1"/>
  <c r="R53" i="69"/>
  <c r="BL53" i="69"/>
  <c r="A305" i="13"/>
  <c r="AX206" i="13"/>
  <c r="AA71" i="4"/>
  <c r="F71" i="69" s="1"/>
  <c r="P45" i="69"/>
  <c r="AE45" i="69" s="1" a="1"/>
  <c r="AE45" i="69" s="1"/>
  <c r="W45" i="4"/>
  <c r="W12" i="4"/>
  <c r="AV1202" i="13" s="1"/>
  <c r="P12" i="69"/>
  <c r="AE12" i="69" s="1" a="1"/>
  <c r="AE12" i="69" s="1"/>
  <c r="BF12" i="69" s="1" a="1"/>
  <c r="BF12" i="69" s="1"/>
  <c r="AA80" i="4"/>
  <c r="F80" i="69" s="1"/>
  <c r="AA79" i="4"/>
  <c r="F79" i="69" s="1"/>
  <c r="BC47" i="4"/>
  <c r="AA35" i="4"/>
  <c r="F35" i="69" s="1"/>
  <c r="BD64" i="4"/>
  <c r="AV1155" i="13" s="1"/>
  <c r="W69" i="4"/>
  <c r="AA59" i="4"/>
  <c r="F59" i="69" s="1"/>
  <c r="W32" i="4"/>
  <c r="BD70" i="4"/>
  <c r="AV1161" i="13" s="1"/>
  <c r="P41" i="69"/>
  <c r="AE41" i="69" s="1" a="1"/>
  <c r="AE41" i="69" s="1"/>
  <c r="W41" i="4"/>
  <c r="AA83" i="4"/>
  <c r="F83" i="69" s="1"/>
  <c r="BD62" i="4"/>
  <c r="AV1153" i="13" s="1"/>
  <c r="AA81" i="4"/>
  <c r="F81" i="69" s="1"/>
  <c r="BO26" i="4"/>
  <c r="U26" i="4"/>
  <c r="BD26" i="4"/>
  <c r="AV1117" i="13" s="1"/>
  <c r="BC85" i="4"/>
  <c r="BC23" i="4"/>
  <c r="BC88" i="4"/>
  <c r="BD31" i="4"/>
  <c r="AV1122" i="13" s="1"/>
  <c r="BC44" i="4"/>
  <c r="BD15" i="4"/>
  <c r="AV1106" i="13" s="1"/>
  <c r="BC78" i="4"/>
  <c r="BD21" i="4"/>
  <c r="AV1112" i="13" s="1"/>
  <c r="BD93" i="4"/>
  <c r="AV1184" i="13" s="1"/>
  <c r="BK48" i="69"/>
  <c r="AW48" i="69"/>
  <c r="BK52" i="69"/>
  <c r="AW52" i="69"/>
  <c r="BK27" i="69"/>
  <c r="AW27" i="69"/>
  <c r="E44" i="69"/>
  <c r="BE44" i="69" a="1"/>
  <c r="BE44" i="69" s="1"/>
  <c r="BL44" i="69"/>
  <c r="BI44" i="69" a="1"/>
  <c r="BI44" i="69" s="1"/>
  <c r="BH44" i="69"/>
  <c r="BJ44" i="69" s="1"/>
  <c r="R44" i="69"/>
  <c r="AY44" i="69"/>
  <c r="AV44" i="69"/>
  <c r="AV49" i="69"/>
  <c r="BI49" i="69" a="1"/>
  <c r="BI49" i="69" s="1"/>
  <c r="AY49" i="69"/>
  <c r="BL49" i="69"/>
  <c r="BE49" i="69" a="1"/>
  <c r="BE49" i="69" s="1"/>
  <c r="R49" i="69"/>
  <c r="BH49" i="69"/>
  <c r="BJ49" i="69" s="1"/>
  <c r="E49" i="69"/>
  <c r="AY37" i="69"/>
  <c r="R37" i="69"/>
  <c r="AV37" i="69"/>
  <c r="BE37" i="69" a="1"/>
  <c r="BE37" i="69" s="1"/>
  <c r="BI37" i="69" a="1"/>
  <c r="BI37" i="69" s="1"/>
  <c r="E37" i="69"/>
  <c r="BH37" i="69"/>
  <c r="BJ37" i="69" s="1"/>
  <c r="BL37" i="69"/>
  <c r="I443" i="15" a="1"/>
  <c r="I443" i="15" s="1"/>
  <c r="H443" i="15" a="1"/>
  <c r="H443" i="15" s="1"/>
  <c r="H361" i="15" a="1"/>
  <c r="H361" i="15" s="1"/>
  <c r="I361" i="15" a="1"/>
  <c r="I361" i="15" s="1"/>
  <c r="BH50" i="69"/>
  <c r="BJ50" i="69" s="1"/>
  <c r="E50" i="69"/>
  <c r="AV50" i="69"/>
  <c r="BI50" i="69" a="1"/>
  <c r="BI50" i="69" s="1"/>
  <c r="R50" i="69"/>
  <c r="AY50" i="69"/>
  <c r="BE50" i="69" a="1"/>
  <c r="BE50" i="69" s="1"/>
  <c r="BF50" i="69" a="1"/>
  <c r="BF50" i="69" s="1"/>
  <c r="BE27" i="69" a="1"/>
  <c r="BE27" i="69" s="1"/>
  <c r="BH27" i="69"/>
  <c r="BJ27" i="69" s="1"/>
  <c r="R27" i="69"/>
  <c r="AY27" i="69"/>
  <c r="E27" i="69"/>
  <c r="BI27" i="69" a="1"/>
  <c r="BI27" i="69" s="1"/>
  <c r="BL27" i="69"/>
  <c r="AV27" i="69"/>
  <c r="E35" i="69"/>
  <c r="AY35" i="69"/>
  <c r="BI35" i="69" a="1"/>
  <c r="BI35" i="69" s="1"/>
  <c r="BH35" i="69"/>
  <c r="BJ35" i="69" s="1"/>
  <c r="AV35" i="69"/>
  <c r="BL35" i="69"/>
  <c r="BE35" i="69" a="1"/>
  <c r="BE35" i="69" s="1"/>
  <c r="R35" i="69"/>
  <c r="I296" i="15" a="1"/>
  <c r="I296" i="15" s="1"/>
  <c r="H296" i="15" a="1"/>
  <c r="H296" i="15" s="1"/>
  <c r="W20" i="4"/>
  <c r="AV1210" i="13" s="1"/>
  <c r="P20" i="69"/>
  <c r="AQ20" i="69" s="1" a="1"/>
  <c r="AQ20" i="69" s="1"/>
  <c r="AA49" i="4"/>
  <c r="F49" i="69" s="1"/>
  <c r="BD16" i="4"/>
  <c r="AV1107" i="13" s="1"/>
  <c r="AI73" i="4"/>
  <c r="I73" i="69" s="1"/>
  <c r="AI25" i="4"/>
  <c r="I25" i="69" s="1"/>
  <c r="W92" i="4"/>
  <c r="BD47" i="4"/>
  <c r="AV1138" i="13" s="1"/>
  <c r="AI77" i="4"/>
  <c r="I77" i="69" s="1"/>
  <c r="AI65" i="4"/>
  <c r="I65" i="69" s="1"/>
  <c r="W74" i="4"/>
  <c r="BC86" i="4"/>
  <c r="BC36" i="4"/>
  <c r="AI7" i="4"/>
  <c r="I7" i="69" s="1"/>
  <c r="AI27" i="4"/>
  <c r="I27" i="69" s="1"/>
  <c r="BC64" i="4"/>
  <c r="P53" i="69"/>
  <c r="AQ53" i="69" s="1" a="1"/>
  <c r="AQ53" i="69" s="1"/>
  <c r="W53" i="4"/>
  <c r="AA52" i="4"/>
  <c r="F52" i="69" s="1"/>
  <c r="P36" i="69"/>
  <c r="AE36" i="69" s="1" a="1"/>
  <c r="AE36" i="69" s="1"/>
  <c r="W36" i="4"/>
  <c r="AA69" i="4"/>
  <c r="F69" i="69" s="1"/>
  <c r="AI8" i="4"/>
  <c r="I8" i="69" s="1"/>
  <c r="AA32" i="4"/>
  <c r="F32" i="69" s="1"/>
  <c r="BC94" i="4"/>
  <c r="AI69" i="4"/>
  <c r="I69" i="69" s="1"/>
  <c r="AI36" i="4"/>
  <c r="I36" i="69" s="1"/>
  <c r="BC70" i="4"/>
  <c r="AI88" i="4"/>
  <c r="I88" i="69" s="1"/>
  <c r="AE5" i="4"/>
  <c r="AV1294" i="13" s="1"/>
  <c r="AT5" i="69"/>
  <c r="AA56" i="4"/>
  <c r="F56" i="69" s="1"/>
  <c r="P46" i="69"/>
  <c r="AE46" i="69" s="1" a="1"/>
  <c r="AE46" i="69" s="1"/>
  <c r="W46" i="4"/>
  <c r="BD38" i="4"/>
  <c r="AV1129" i="13" s="1"/>
  <c r="W82" i="4"/>
  <c r="W75" i="4"/>
  <c r="AV1265" i="13" s="1"/>
  <c r="W76" i="4"/>
  <c r="BD81" i="4"/>
  <c r="AV1172" i="13" s="1"/>
  <c r="BC82" i="4"/>
  <c r="W66" i="4"/>
  <c r="W11" i="4"/>
  <c r="AV1201" i="13" s="1"/>
  <c r="P11" i="69"/>
  <c r="AE11" i="69" s="1" a="1"/>
  <c r="AE11" i="69" s="1"/>
  <c r="AL11" i="69" s="1" a="1"/>
  <c r="AL11" i="69" s="1"/>
  <c r="AA46" i="4"/>
  <c r="F46" i="69" s="1"/>
  <c r="BC26" i="4"/>
  <c r="BD23" i="4"/>
  <c r="AV1114" i="13" s="1"/>
  <c r="BC10" i="4"/>
  <c r="BC87" i="4"/>
  <c r="BC31" i="4"/>
  <c r="BD32" i="4"/>
  <c r="AV1123" i="13" s="1"/>
  <c r="BD78" i="4"/>
  <c r="AV1169" i="13" s="1"/>
  <c r="BC79" i="4"/>
  <c r="AW38" i="69"/>
  <c r="BL22" i="69"/>
  <c r="BI22" i="69" a="1"/>
  <c r="BI22" i="69" s="1"/>
  <c r="AY22" i="69"/>
  <c r="AV22" i="69"/>
  <c r="BE22" i="69" a="1"/>
  <c r="BE22" i="69" s="1"/>
  <c r="R22" i="69"/>
  <c r="E22" i="69"/>
  <c r="BH22" i="69"/>
  <c r="BJ22" i="69" s="1"/>
  <c r="BM22" i="69"/>
  <c r="I238" i="15" a="1"/>
  <c r="I238" i="15" s="1"/>
  <c r="H238" i="15" a="1"/>
  <c r="H238" i="15" s="1"/>
  <c r="BE30" i="69" a="1"/>
  <c r="BE30" i="69" s="1"/>
  <c r="E30" i="69"/>
  <c r="AY30" i="69"/>
  <c r="AV30" i="69"/>
  <c r="BH30" i="69"/>
  <c r="BJ30" i="69" s="1"/>
  <c r="R30" i="69"/>
  <c r="BI30" i="69" a="1"/>
  <c r="BI30" i="69" s="1"/>
  <c r="BL30" i="69"/>
  <c r="R38" i="69"/>
  <c r="BL38" i="69"/>
  <c r="AY38" i="69"/>
  <c r="BE38" i="69" a="1"/>
  <c r="BE38" i="69" s="1"/>
  <c r="AV38" i="69"/>
  <c r="BI38" i="69" a="1"/>
  <c r="BI38" i="69" s="1"/>
  <c r="E38" i="69"/>
  <c r="BH38" i="69"/>
  <c r="BJ38" i="69" s="1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F479" i="15" a="1"/>
  <c r="F479" i="15" s="1"/>
  <c r="H141" i="15" a="1"/>
  <c r="H141" i="15" s="1"/>
  <c r="I141" i="15" a="1"/>
  <c r="I141" i="15" s="1"/>
  <c r="I473" i="15" a="1"/>
  <c r="I473" i="15" s="1"/>
  <c r="H473" i="15" a="1"/>
  <c r="H473" i="15" s="1"/>
  <c r="AA51" i="4"/>
  <c r="F51" i="69" s="1"/>
  <c r="W68" i="4"/>
  <c r="AA75" i="4"/>
  <c r="F75" i="69" s="1"/>
  <c r="AE16" i="4"/>
  <c r="AV1305" i="13" s="1"/>
  <c r="AT16" i="69"/>
  <c r="BK16" i="69" s="1"/>
  <c r="W62" i="4"/>
  <c r="AA85" i="4"/>
  <c r="F85" i="69" s="1"/>
  <c r="AA18" i="4"/>
  <c r="F18" i="69" s="1"/>
  <c r="BD34" i="4"/>
  <c r="AV1125" i="13" s="1"/>
  <c r="BC56" i="4"/>
  <c r="W70" i="4"/>
  <c r="BD36" i="4"/>
  <c r="AV1127" i="13" s="1"/>
  <c r="W18" i="4"/>
  <c r="AV1208" i="13" s="1"/>
  <c r="P18" i="69"/>
  <c r="AE18" i="69" s="1" a="1"/>
  <c r="AE18" i="69" s="1"/>
  <c r="AL18" i="69" s="1" a="1"/>
  <c r="AL18" i="69" s="1"/>
  <c r="P43" i="69"/>
  <c r="AQ43" i="69" s="1" a="1"/>
  <c r="AQ43" i="69" s="1"/>
  <c r="W43" i="4"/>
  <c r="AE12" i="4"/>
  <c r="AV1301" i="13" s="1"/>
  <c r="AT12" i="69"/>
  <c r="BK12" i="69" s="1"/>
  <c r="AA24" i="4"/>
  <c r="F24" i="69" s="1"/>
  <c r="AA41" i="4"/>
  <c r="F41" i="69" s="1"/>
  <c r="AA72" i="4"/>
  <c r="F72" i="69" s="1"/>
  <c r="W87" i="4"/>
  <c r="AV1277" i="13" s="1"/>
  <c r="BC77" i="4"/>
  <c r="AA64" i="4"/>
  <c r="F64" i="69" s="1"/>
  <c r="AA89" i="4"/>
  <c r="F89" i="69" s="1"/>
  <c r="AE8" i="4"/>
  <c r="AV1297" i="13" s="1"/>
  <c r="AT8" i="69"/>
  <c r="BC12" i="4"/>
  <c r="AA77" i="4"/>
  <c r="F77" i="69" s="1"/>
  <c r="BD85" i="4"/>
  <c r="AV1176" i="13" s="1"/>
  <c r="BO85" i="4"/>
  <c r="BD88" i="4"/>
  <c r="AV1179" i="13" s="1"/>
  <c r="U88" i="4"/>
  <c r="BD10" i="4"/>
  <c r="AV1101" i="13" s="1"/>
  <c r="BD87" i="4"/>
  <c r="AV1178" i="13" s="1"/>
  <c r="BD44" i="4"/>
  <c r="AV1135" i="13" s="1"/>
  <c r="BC32" i="4"/>
  <c r="BC15" i="4"/>
  <c r="G21" i="4"/>
  <c r="BQ21" i="4" s="1"/>
  <c r="BL21" i="4"/>
  <c r="BD79" i="4"/>
  <c r="AV1170" i="13" s="1"/>
  <c r="AW26" i="69"/>
  <c r="R29" i="69"/>
  <c r="AY29" i="69"/>
  <c r="BH29" i="69"/>
  <c r="BJ29" i="69" s="1"/>
  <c r="BL29" i="69"/>
  <c r="AV29" i="69"/>
  <c r="E29" i="69"/>
  <c r="BE29" i="69" a="1"/>
  <c r="BE29" i="69" s="1"/>
  <c r="BI29" i="69" a="1"/>
  <c r="BI29" i="69" s="1"/>
  <c r="AW33" i="69"/>
  <c r="F262" i="15" a="1"/>
  <c r="F262" i="15" s="1"/>
  <c r="I260" i="15" a="1"/>
  <c r="I260" i="15" s="1"/>
  <c r="H260" i="15" a="1"/>
  <c r="H260" i="15" s="1"/>
  <c r="AW44" i="69"/>
  <c r="BH28" i="69"/>
  <c r="BJ28" i="69" s="1"/>
  <c r="E28" i="69"/>
  <c r="AY28" i="69"/>
  <c r="AV28" i="69"/>
  <c r="BE28" i="69" a="1"/>
  <c r="BE28" i="69" s="1"/>
  <c r="R28" i="69"/>
  <c r="BL28" i="69"/>
  <c r="BI28" i="69" a="1"/>
  <c r="BI28" i="69" s="1"/>
  <c r="F172" i="15" a="1"/>
  <c r="F172" i="15" s="1"/>
  <c r="BM50" i="69"/>
  <c r="AL50" i="69" a="1"/>
  <c r="AL50" i="69" s="1"/>
  <c r="W86" i="4"/>
  <c r="W77" i="4"/>
  <c r="W93" i="4"/>
  <c r="AA67" i="4"/>
  <c r="F67" i="69" s="1"/>
  <c r="AI9" i="4"/>
  <c r="I9" i="69" s="1"/>
  <c r="BC16" i="4"/>
  <c r="P52" i="69"/>
  <c r="AQ52" i="69" s="1" a="1"/>
  <c r="AQ52" i="69" s="1"/>
  <c r="W52" i="4"/>
  <c r="AI18" i="4"/>
  <c r="I18" i="69" s="1"/>
  <c r="AE19" i="4"/>
  <c r="AV1308" i="13" s="1"/>
  <c r="AT19" i="69"/>
  <c r="BD86" i="4"/>
  <c r="AV1177" i="13" s="1"/>
  <c r="BD27" i="4"/>
  <c r="AV1118" i="13" s="1"/>
  <c r="P22" i="69"/>
  <c r="AQ22" i="69" s="1" a="1"/>
  <c r="AQ22" i="69" s="1"/>
  <c r="W22" i="4"/>
  <c r="BC43" i="4"/>
  <c r="AA15" i="4"/>
  <c r="F15" i="69" s="1"/>
  <c r="AA27" i="4"/>
  <c r="F27" i="69" s="1"/>
  <c r="BD94" i="4"/>
  <c r="AV1185" i="13" s="1"/>
  <c r="U94" i="4"/>
  <c r="J94" i="4"/>
  <c r="AE9" i="4"/>
  <c r="AV1298" i="13" s="1"/>
  <c r="AT9" i="69"/>
  <c r="W83" i="4"/>
  <c r="W89" i="4"/>
  <c r="AI42" i="4"/>
  <c r="I42" i="69" s="1"/>
  <c r="AI84" i="4"/>
  <c r="I84" i="69" s="1"/>
  <c r="BC81" i="4"/>
  <c r="BD82" i="4"/>
  <c r="AV1173" i="13" s="1"/>
  <c r="U82" i="4"/>
  <c r="W88" i="4"/>
  <c r="AV1278" i="13" s="1"/>
  <c r="P26" i="69"/>
  <c r="AQ26" i="69" s="1" a="1"/>
  <c r="AQ26" i="69" s="1"/>
  <c r="W26" i="4"/>
  <c r="AI31" i="4"/>
  <c r="I31" i="69" s="1"/>
  <c r="BD6" i="4"/>
  <c r="AV1097" i="13" s="1"/>
  <c r="BD45" i="4"/>
  <c r="AV1136" i="13" s="1"/>
  <c r="BC11" i="4"/>
  <c r="BC69" i="4"/>
  <c r="BD8" i="4"/>
  <c r="AV1099" i="13" s="1"/>
  <c r="BD52" i="4"/>
  <c r="AV1143" i="13" s="1"/>
  <c r="BC46" i="4"/>
  <c r="BD89" i="4"/>
  <c r="AV1180" i="13" s="1"/>
  <c r="U89" i="4"/>
  <c r="BO89" i="4"/>
  <c r="I444" i="15" a="1"/>
  <c r="I444" i="15" s="1"/>
  <c r="H444" i="15" a="1"/>
  <c r="H444" i="15" s="1"/>
  <c r="BM37" i="69"/>
  <c r="I355" i="15" a="1"/>
  <c r="I355" i="15" s="1"/>
  <c r="H355" i="15" a="1"/>
  <c r="H355" i="15" s="1"/>
  <c r="AW24" i="69"/>
  <c r="H259" i="15" a="1"/>
  <c r="H259" i="15" s="1"/>
  <c r="I259" i="15" a="1"/>
  <c r="I259" i="15" s="1"/>
  <c r="BW21" i="4" a="1"/>
  <c r="BW21" i="4" s="1"/>
  <c r="BU21" i="4" s="1" a="1"/>
  <c r="BU21" i="4" s="1"/>
  <c r="BV21" i="4" a="1"/>
  <c r="BV21" i="4" s="1"/>
  <c r="BA27" i="4"/>
  <c r="U27" i="4" s="1"/>
  <c r="BQ27" i="4"/>
  <c r="W59" i="4"/>
  <c r="BC9" i="4"/>
  <c r="W78" i="4"/>
  <c r="AA76" i="4"/>
  <c r="F76" i="69" s="1"/>
  <c r="BC3" i="4"/>
  <c r="BF96" i="4"/>
  <c r="W71" i="4"/>
  <c r="AA9" i="4"/>
  <c r="F9" i="69" s="1"/>
  <c r="BD56" i="4"/>
  <c r="AV1147" i="13" s="1"/>
  <c r="AA28" i="4"/>
  <c r="F28" i="69" s="1"/>
  <c r="U48" i="4"/>
  <c r="BD48" i="4"/>
  <c r="AV1139" i="13" s="1"/>
  <c r="BO48" i="4"/>
  <c r="AA57" i="4"/>
  <c r="F57" i="69" s="1"/>
  <c r="BD43" i="4"/>
  <c r="AV1134" i="13" s="1"/>
  <c r="AA13" i="4"/>
  <c r="F13" i="69" s="1"/>
  <c r="W80" i="4"/>
  <c r="AE14" i="4"/>
  <c r="AV1303" i="13" s="1"/>
  <c r="AT14" i="69"/>
  <c r="P34" i="69"/>
  <c r="AX34" i="69" s="1"/>
  <c r="W34" i="4"/>
  <c r="BD77" i="4"/>
  <c r="AV1168" i="13" s="1"/>
  <c r="AA36" i="4"/>
  <c r="F36" i="69" s="1"/>
  <c r="W73" i="4"/>
  <c r="AV1263" i="13" s="1"/>
  <c r="P40" i="69"/>
  <c r="AQ40" i="69" s="1" a="1"/>
  <c r="AQ40" i="69" s="1"/>
  <c r="W40" i="4"/>
  <c r="AA7" i="4"/>
  <c r="F7" i="69" s="1"/>
  <c r="BO12" i="4"/>
  <c r="BD12" i="4"/>
  <c r="AV1103" i="13" s="1"/>
  <c r="BC33" i="4"/>
  <c r="AA78" i="4"/>
  <c r="F78" i="69" s="1"/>
  <c r="BC39" i="4"/>
  <c r="BC49" i="4"/>
  <c r="BD11" i="4"/>
  <c r="AV1102" i="13" s="1"/>
  <c r="U11" i="4"/>
  <c r="BD69" i="4"/>
  <c r="AV1160" i="13" s="1"/>
  <c r="BC8" i="4"/>
  <c r="BC54" i="4"/>
  <c r="BC52" i="4"/>
  <c r="BD46" i="4"/>
  <c r="AV1137" i="13" s="1"/>
  <c r="BO46" i="4"/>
  <c r="U46" i="4"/>
  <c r="CS21" i="4"/>
  <c r="CT21" i="4" s="1"/>
  <c r="BE31" i="69" a="1"/>
  <c r="BE31" i="69" s="1"/>
  <c r="BH31" i="69"/>
  <c r="BJ31" i="69" s="1"/>
  <c r="AV31" i="69"/>
  <c r="BI31" i="69" a="1"/>
  <c r="BI31" i="69" s="1"/>
  <c r="AY31" i="69"/>
  <c r="BL31" i="69"/>
  <c r="R31" i="69"/>
  <c r="E31" i="69"/>
  <c r="F231" i="15" a="1"/>
  <c r="F231" i="15" s="1"/>
  <c r="BM21" i="69"/>
  <c r="BM42" i="69"/>
  <c r="F305" i="15" a="1"/>
  <c r="F305" i="15" s="1"/>
  <c r="BL47" i="69"/>
  <c r="E47" i="69"/>
  <c r="BE47" i="69" a="1"/>
  <c r="BE47" i="69" s="1"/>
  <c r="BI47" i="69" a="1"/>
  <c r="BI47" i="69" s="1"/>
  <c r="AY47" i="69"/>
  <c r="BH47" i="69"/>
  <c r="BJ47" i="69" s="1"/>
  <c r="R47" i="69"/>
  <c r="AV47" i="69"/>
  <c r="BM45" i="69"/>
  <c r="F338" i="15" a="1"/>
  <c r="F338" i="15" s="1"/>
  <c r="BM24" i="69"/>
  <c r="AV26" i="69"/>
  <c r="E26" i="69"/>
  <c r="BI26" i="69" a="1"/>
  <c r="BI26" i="69" s="1"/>
  <c r="AY26" i="69"/>
  <c r="BL26" i="69"/>
  <c r="BH26" i="69"/>
  <c r="BJ26" i="69" s="1"/>
  <c r="R26" i="69"/>
  <c r="BE26" i="69" a="1"/>
  <c r="BE26" i="69" s="1"/>
  <c r="AV45" i="69"/>
  <c r="AY45" i="69"/>
  <c r="BH45" i="69"/>
  <c r="BJ45" i="69" s="1"/>
  <c r="BI45" i="69" a="1"/>
  <c r="BI45" i="69" s="1"/>
  <c r="E45" i="69"/>
  <c r="R45" i="69"/>
  <c r="BE45" i="69" a="1"/>
  <c r="BE45" i="69" s="1"/>
  <c r="BL45" i="69"/>
  <c r="W6" i="4"/>
  <c r="AV1196" i="13" s="1"/>
  <c r="P6" i="69"/>
  <c r="AQ6" i="69" s="1" a="1"/>
  <c r="AQ6" i="69" s="1"/>
  <c r="BD9" i="4"/>
  <c r="AV1100" i="13" s="1"/>
  <c r="AA54" i="4"/>
  <c r="F54" i="69" s="1"/>
  <c r="AA66" i="4"/>
  <c r="F66" i="69" s="1"/>
  <c r="BH96" i="4"/>
  <c r="AI82" i="4"/>
  <c r="I82" i="69" s="1"/>
  <c r="AA93" i="4"/>
  <c r="F93" i="69" s="1"/>
  <c r="BD59" i="4"/>
  <c r="AV1150" i="13" s="1"/>
  <c r="BO59" i="4"/>
  <c r="BC48" i="4"/>
  <c r="AI10" i="4"/>
  <c r="I10" i="69" s="1"/>
  <c r="BC27" i="4"/>
  <c r="P33" i="69"/>
  <c r="AE33" i="69" s="1" a="1"/>
  <c r="AE33" i="69" s="1"/>
  <c r="BF33" i="69" s="1" a="1"/>
  <c r="BF33" i="69" s="1"/>
  <c r="W33" i="4"/>
  <c r="W7" i="4"/>
  <c r="AV1197" i="13" s="1"/>
  <c r="P7" i="69"/>
  <c r="AE7" i="69" s="1" a="1"/>
  <c r="AE7" i="69" s="1"/>
  <c r="AH7" i="69" s="1" a="1"/>
  <c r="AH7" i="69" s="1"/>
  <c r="BC53" i="4"/>
  <c r="W67" i="4"/>
  <c r="P42" i="69"/>
  <c r="AX42" i="69" s="1"/>
  <c r="W42" i="4"/>
  <c r="BC17" i="4"/>
  <c r="P30" i="69"/>
  <c r="AQ30" i="69" s="1" a="1"/>
  <c r="AQ30" i="69" s="1"/>
  <c r="W30" i="4"/>
  <c r="AA61" i="4"/>
  <c r="F61" i="69" s="1"/>
  <c r="P44" i="69"/>
  <c r="AE44" i="69" s="1" a="1"/>
  <c r="AE44" i="69" s="1"/>
  <c r="W44" i="4"/>
  <c r="AI14" i="4"/>
  <c r="I14" i="69" s="1"/>
  <c r="AA37" i="4"/>
  <c r="F37" i="69" s="1"/>
  <c r="G60" i="4"/>
  <c r="BL60" i="4"/>
  <c r="AI85" i="4"/>
  <c r="I85" i="69" s="1"/>
  <c r="AI80" i="4"/>
  <c r="I80" i="69" s="1"/>
  <c r="AI74" i="4"/>
  <c r="I74" i="69" s="1"/>
  <c r="BD33" i="4"/>
  <c r="AV1124" i="13" s="1"/>
  <c r="W13" i="4"/>
  <c r="AV1203" i="13" s="1"/>
  <c r="P13" i="69"/>
  <c r="AE13" i="69" s="1" a="1"/>
  <c r="AE13" i="69" s="1"/>
  <c r="W23" i="4"/>
  <c r="W50" i="4"/>
  <c r="BD39" i="4"/>
  <c r="AV1130" i="13" s="1"/>
  <c r="U39" i="4"/>
  <c r="BC6" i="4"/>
  <c r="BD49" i="4"/>
  <c r="AV1140" i="13" s="1"/>
  <c r="U49" i="4"/>
  <c r="BC45" i="4"/>
  <c r="BD54" i="4"/>
  <c r="AV1145" i="13" s="1"/>
  <c r="BC89" i="4"/>
  <c r="BC21" i="4"/>
  <c r="BQ84" i="4"/>
  <c r="F414" i="15" a="1"/>
  <c r="F414" i="15" s="1"/>
  <c r="F453" i="15" a="1"/>
  <c r="F453" i="15" s="1"/>
  <c r="AX236" i="13"/>
  <c r="A335" i="13"/>
  <c r="BM27" i="69"/>
  <c r="AW23" i="69"/>
  <c r="AX23" i="69"/>
  <c r="AE23" i="69" a="1"/>
  <c r="AE23" i="69" s="1"/>
  <c r="BF23" i="69" s="1" a="1"/>
  <c r="BF23" i="69" s="1"/>
  <c r="AV25" i="69"/>
  <c r="AY25" i="69"/>
  <c r="E25" i="69"/>
  <c r="BH25" i="69"/>
  <c r="BJ25" i="69" s="1"/>
  <c r="BI25" i="69" a="1"/>
  <c r="BI25" i="69" s="1"/>
  <c r="R25" i="69"/>
  <c r="BL25" i="69"/>
  <c r="BE25" i="69" a="1"/>
  <c r="BE25" i="69" s="1"/>
  <c r="F458" i="15" a="1"/>
  <c r="F458" i="15" s="1"/>
  <c r="I337" i="15" a="1"/>
  <c r="I337" i="15" s="1"/>
  <c r="H337" i="15" a="1"/>
  <c r="H337" i="15" s="1"/>
  <c r="I397" i="15" a="1"/>
  <c r="I397" i="15" s="1"/>
  <c r="H397" i="15" a="1"/>
  <c r="H397" i="15" s="1"/>
  <c r="M479" i="15" a="1"/>
  <c r="M479" i="15" s="1"/>
  <c r="N479" i="15" a="1"/>
  <c r="N479" i="15" s="1"/>
  <c r="L479" i="15" a="1"/>
  <c r="L479" i="15" s="1"/>
  <c r="K479" i="15" a="1"/>
  <c r="K479" i="15" s="1"/>
  <c r="BM52" i="69"/>
  <c r="BI48" i="69" a="1"/>
  <c r="BI48" i="69" s="1"/>
  <c r="BL48" i="69"/>
  <c r="R48" i="69"/>
  <c r="AV48" i="69"/>
  <c r="E48" i="69"/>
  <c r="BE48" i="69" a="1"/>
  <c r="BE48" i="69" s="1"/>
  <c r="AY48" i="69"/>
  <c r="BH48" i="69"/>
  <c r="BJ48" i="69" s="1"/>
  <c r="AY36" i="69"/>
  <c r="E36" i="69"/>
  <c r="BE36" i="69" a="1"/>
  <c r="BE36" i="69" s="1"/>
  <c r="R36" i="69"/>
  <c r="BH36" i="69"/>
  <c r="BJ36" i="69" s="1"/>
  <c r="AV36" i="69"/>
  <c r="BI36" i="69" a="1"/>
  <c r="BI36" i="69" s="1"/>
  <c r="BL36" i="69"/>
  <c r="BM28" i="69"/>
  <c r="R32" i="69"/>
  <c r="BE32" i="69" a="1"/>
  <c r="BE32" i="69" s="1"/>
  <c r="AV32" i="69"/>
  <c r="BI32" i="69" a="1"/>
  <c r="BI32" i="69" s="1"/>
  <c r="E32" i="69"/>
  <c r="AH32" i="69" a="1"/>
  <c r="AH32" i="69" s="1"/>
  <c r="BL32" i="69"/>
  <c r="BH32" i="69"/>
  <c r="BJ32" i="69" s="1"/>
  <c r="AY32" i="69"/>
  <c r="BF32" i="69" a="1"/>
  <c r="BF32" i="69" s="1"/>
  <c r="F108" i="15" a="1"/>
  <c r="F108" i="15" s="1"/>
  <c r="F449" i="15" a="1"/>
  <c r="F449" i="15" s="1"/>
  <c r="H396" i="15" a="1"/>
  <c r="H396" i="15" s="1"/>
  <c r="I396" i="15" a="1"/>
  <c r="I396" i="15" s="1"/>
  <c r="BI23" i="69" a="1"/>
  <c r="BI23" i="69" s="1"/>
  <c r="R23" i="69"/>
  <c r="BL23" i="69"/>
  <c r="BE23" i="69" a="1"/>
  <c r="BE23" i="69" s="1"/>
  <c r="AY23" i="69"/>
  <c r="AV23" i="69"/>
  <c r="E23" i="69"/>
  <c r="BH23" i="69"/>
  <c r="BJ23" i="69" s="1"/>
  <c r="BA36" i="4"/>
  <c r="U36" i="4" s="1"/>
  <c r="BQ36" i="4"/>
  <c r="W9" i="4"/>
  <c r="AV1199" i="13" s="1"/>
  <c r="P9" i="69"/>
  <c r="AQ9" i="69" s="1" a="1"/>
  <c r="AQ9" i="69" s="1"/>
  <c r="BO80" i="4"/>
  <c r="U80" i="4"/>
  <c r="BD80" i="4"/>
  <c r="AV1171" i="13" s="1"/>
  <c r="AA8" i="4"/>
  <c r="F8" i="69" s="1"/>
  <c r="W19" i="4"/>
  <c r="AV1209" i="13" s="1"/>
  <c r="P19" i="69"/>
  <c r="AQ19" i="69" s="1" a="1"/>
  <c r="AQ19" i="69" s="1"/>
  <c r="AW103" i="4"/>
  <c r="BG96" i="4"/>
  <c r="BB105" i="4" s="1"/>
  <c r="BD3" i="4"/>
  <c r="BE100" i="4"/>
  <c r="AW102" i="4"/>
  <c r="Z1762" i="13" s="1"/>
  <c r="BN193" i="4"/>
  <c r="AA47" i="4"/>
  <c r="F47" i="69" s="1"/>
  <c r="AE3" i="4"/>
  <c r="AV1292" i="13" s="1"/>
  <c r="AT3" i="69"/>
  <c r="BD73" i="4"/>
  <c r="AV1164" i="13" s="1"/>
  <c r="AI54" i="4"/>
  <c r="I54" i="69" s="1"/>
  <c r="W81" i="4"/>
  <c r="AV1271" i="13" s="1"/>
  <c r="W17" i="4"/>
  <c r="AV1207" i="13" s="1"/>
  <c r="P17" i="69"/>
  <c r="AE17" i="69" s="1" a="1"/>
  <c r="AE17" i="69" s="1"/>
  <c r="AH17" i="69" s="1" a="1"/>
  <c r="AH17" i="69" s="1"/>
  <c r="W35" i="4"/>
  <c r="BC67" i="4"/>
  <c r="BD17" i="4"/>
  <c r="AV1108" i="13" s="1"/>
  <c r="BO17" i="4"/>
  <c r="U17" i="4"/>
  <c r="AA63" i="4"/>
  <c r="F63" i="69" s="1"/>
  <c r="W64" i="4"/>
  <c r="U42" i="4"/>
  <c r="BD42" i="4"/>
  <c r="AV1133" i="13" s="1"/>
  <c r="BO42" i="4"/>
  <c r="AI28" i="4"/>
  <c r="I28" i="69" s="1"/>
  <c r="W5" i="4"/>
  <c r="AV1195" i="13" s="1"/>
  <c r="P5" i="69"/>
  <c r="AQ5" i="69" s="1" a="1"/>
  <c r="AQ5" i="69" s="1"/>
  <c r="AA31" i="4"/>
  <c r="F31" i="69" s="1"/>
  <c r="AA20" i="4"/>
  <c r="F20" i="69" s="1"/>
  <c r="P47" i="69"/>
  <c r="AQ47" i="69" s="1" a="1"/>
  <c r="AQ47" i="69" s="1"/>
  <c r="W47" i="4"/>
  <c r="BD18" i="4"/>
  <c r="AV1109" i="13" s="1"/>
  <c r="BO18" i="4"/>
  <c r="U18" i="4"/>
  <c r="BC5" i="4"/>
  <c r="U68" i="4"/>
  <c r="BD68" i="4"/>
  <c r="AV1159" i="13" s="1"/>
  <c r="BO68" i="4"/>
  <c r="BD25" i="4"/>
  <c r="AV1116" i="13" s="1"/>
  <c r="U25" i="4"/>
  <c r="BD63" i="4"/>
  <c r="AV1154" i="13" s="1"/>
  <c r="BO63" i="4"/>
  <c r="BD24" i="4"/>
  <c r="AV1115" i="13" s="1"/>
  <c r="BD50" i="4"/>
  <c r="AV1141" i="13" s="1"/>
  <c r="U50" i="4"/>
  <c r="BP193" i="4"/>
  <c r="BC40" i="4"/>
  <c r="BD37" i="4"/>
  <c r="AV1128" i="13" s="1"/>
  <c r="CQ21" i="4"/>
  <c r="CR21" i="4" s="1"/>
  <c r="H472" i="15" a="1"/>
  <c r="H472" i="15" s="1"/>
  <c r="I472" i="15" a="1"/>
  <c r="I472" i="15" s="1"/>
  <c r="AV34" i="69"/>
  <c r="BL34" i="69"/>
  <c r="BH34" i="69"/>
  <c r="BJ34" i="69" s="1"/>
  <c r="R34" i="69"/>
  <c r="AY34" i="69"/>
  <c r="BE34" i="69" a="1"/>
  <c r="BE34" i="69" s="1"/>
  <c r="BI34" i="69" a="1"/>
  <c r="BI34" i="69" s="1"/>
  <c r="E34" i="69"/>
  <c r="BM29" i="69"/>
  <c r="F297" i="15" a="1"/>
  <c r="F297" i="15" s="1"/>
  <c r="BM34" i="69"/>
  <c r="BA21" i="4"/>
  <c r="W91" i="4"/>
  <c r="AV1281" i="13" s="1"/>
  <c r="BC80" i="4"/>
  <c r="AA65" i="4"/>
  <c r="F65" i="69" s="1"/>
  <c r="BD51" i="4"/>
  <c r="AV1142" i="13" s="1"/>
  <c r="AE13" i="4"/>
  <c r="AV1302" i="13" s="1"/>
  <c r="AT13" i="69"/>
  <c r="W14" i="4"/>
  <c r="AV1204" i="13" s="1"/>
  <c r="P14" i="69"/>
  <c r="AE14" i="69" s="1" a="1"/>
  <c r="AE14" i="69" s="1"/>
  <c r="AH14" i="69" s="1" a="1"/>
  <c r="AH14" i="69" s="1"/>
  <c r="P27" i="69"/>
  <c r="AE27" i="69" s="1" a="1"/>
  <c r="AE27" i="69" s="1"/>
  <c r="W27" i="4"/>
  <c r="BC59" i="4"/>
  <c r="AI71" i="4"/>
  <c r="I71" i="69" s="1"/>
  <c r="AA43" i="4"/>
  <c r="F43" i="69" s="1"/>
  <c r="BD41" i="4"/>
  <c r="AV1132" i="13" s="1"/>
  <c r="U41" i="4"/>
  <c r="AA33" i="4"/>
  <c r="F33" i="69" s="1"/>
  <c r="AA22" i="4"/>
  <c r="F22" i="69" s="1"/>
  <c r="AA17" i="4"/>
  <c r="F17" i="69" s="1"/>
  <c r="AA5" i="4"/>
  <c r="F5" i="69" s="1"/>
  <c r="BD53" i="4"/>
  <c r="AV1144" i="13" s="1"/>
  <c r="BO53" i="4"/>
  <c r="U53" i="4"/>
  <c r="W61" i="4"/>
  <c r="AA44" i="4"/>
  <c r="F44" i="69" s="1"/>
  <c r="AI91" i="4"/>
  <c r="I91" i="69" s="1"/>
  <c r="AE7" i="4"/>
  <c r="AV1296" i="13" s="1"/>
  <c r="AT7" i="69"/>
  <c r="AI22" i="4"/>
  <c r="I22" i="69" s="1"/>
  <c r="W90" i="4"/>
  <c r="AA90" i="4"/>
  <c r="F90" i="69" s="1"/>
  <c r="W8" i="4"/>
  <c r="AV1198" i="13" s="1"/>
  <c r="P8" i="69"/>
  <c r="AE8" i="69" s="1" a="1"/>
  <c r="AE8" i="69" s="1"/>
  <c r="BF8" i="69" s="1" a="1"/>
  <c r="BF8" i="69" s="1"/>
  <c r="BC29" i="4"/>
  <c r="AI63" i="4"/>
  <c r="I63" i="69" s="1"/>
  <c r="W15" i="4"/>
  <c r="AV1205" i="13" s="1"/>
  <c r="P15" i="69"/>
  <c r="AQ15" i="69" s="1" a="1"/>
  <c r="AQ15" i="69" s="1"/>
  <c r="AI23" i="4"/>
  <c r="I23" i="69" s="1"/>
  <c r="BC18" i="4"/>
  <c r="BD5" i="4"/>
  <c r="AV1096" i="13" s="1"/>
  <c r="BO5" i="4"/>
  <c r="BO193" i="4"/>
  <c r="BC68" i="4"/>
  <c r="BC25" i="4"/>
  <c r="BC90" i="4"/>
  <c r="BC24" i="4"/>
  <c r="BD61" i="4"/>
  <c r="AV1152" i="13" s="1"/>
  <c r="BO61" i="4"/>
  <c r="BC61" i="69" s="1"/>
  <c r="U74" i="4"/>
  <c r="BD74" i="4"/>
  <c r="AV1165" i="13" s="1"/>
  <c r="BO74" i="4"/>
  <c r="H405" i="15" a="1"/>
  <c r="H405" i="15" s="1"/>
  <c r="I405" i="15" a="1"/>
  <c r="I405" i="15" s="1"/>
  <c r="I258" i="15" a="1"/>
  <c r="I258" i="15" s="1"/>
  <c r="H258" i="15" a="1"/>
  <c r="H258" i="15" s="1"/>
  <c r="BM25" i="69"/>
  <c r="F311" i="15" a="1"/>
  <c r="F311" i="15" s="1"/>
  <c r="F55" i="15" a="1"/>
  <c r="F55" i="15" s="1"/>
  <c r="I398" i="15" a="1"/>
  <c r="I398" i="15" s="1"/>
  <c r="H398" i="15" a="1"/>
  <c r="H398" i="15" s="1"/>
  <c r="BM46" i="69"/>
  <c r="BA44" i="4"/>
  <c r="BO44" i="4" s="1"/>
  <c r="BQ44" i="4"/>
  <c r="P25" i="69"/>
  <c r="AQ25" i="69" s="1" a="1"/>
  <c r="AQ25" i="69" s="1"/>
  <c r="W25" i="4"/>
  <c r="W10" i="4"/>
  <c r="AV1200" i="13" s="1"/>
  <c r="P10" i="69"/>
  <c r="AE10" i="69" s="1" a="1"/>
  <c r="AE10" i="69" s="1"/>
  <c r="AI24" i="4"/>
  <c r="I24" i="69" s="1"/>
  <c r="BC51" i="4"/>
  <c r="AA68" i="4"/>
  <c r="F68" i="69" s="1"/>
  <c r="P48" i="69"/>
  <c r="AE48" i="69" s="1" a="1"/>
  <c r="AE48" i="69" s="1"/>
  <c r="W48" i="4"/>
  <c r="AA19" i="4"/>
  <c r="F19" i="69" s="1"/>
  <c r="AI43" i="4"/>
  <c r="I43" i="69" s="1"/>
  <c r="BD30" i="4"/>
  <c r="AV1121" i="13" s="1"/>
  <c r="U30" i="4"/>
  <c r="BO30" i="4"/>
  <c r="BD76" i="4"/>
  <c r="AV1167" i="13" s="1"/>
  <c r="BO76" i="4"/>
  <c r="U76" i="4"/>
  <c r="W51" i="4"/>
  <c r="BC41" i="4"/>
  <c r="AA42" i="4"/>
  <c r="F42" i="69" s="1"/>
  <c r="AA50" i="4"/>
  <c r="F50" i="69" s="1"/>
  <c r="BD67" i="4"/>
  <c r="AV1158" i="13" s="1"/>
  <c r="U67" i="4"/>
  <c r="AI48" i="4"/>
  <c r="I48" i="69" s="1"/>
  <c r="AA45" i="4"/>
  <c r="F45" i="69" s="1"/>
  <c r="BC75" i="4"/>
  <c r="AA70" i="4"/>
  <c r="F70" i="69" s="1"/>
  <c r="AA84" i="4"/>
  <c r="F84" i="69" s="1"/>
  <c r="AA53" i="4"/>
  <c r="F53" i="69" s="1"/>
  <c r="AJ3" i="69"/>
  <c r="AA86" i="4"/>
  <c r="F86" i="69" s="1"/>
  <c r="W16" i="4"/>
  <c r="AV1206" i="13" s="1"/>
  <c r="P16" i="69"/>
  <c r="AQ16" i="69" s="1" a="1"/>
  <c r="AQ16" i="69" s="1"/>
  <c r="BD35" i="4"/>
  <c r="AV1126" i="13" s="1"/>
  <c r="BC63" i="4"/>
  <c r="BD90" i="4"/>
  <c r="AV1181" i="13" s="1"/>
  <c r="U90" i="4"/>
  <c r="BO90" i="4"/>
  <c r="BC61" i="4"/>
  <c r="U40" i="4"/>
  <c r="BD40" i="4"/>
  <c r="AV1131" i="13" s="1"/>
  <c r="BO40" i="4"/>
  <c r="BI51" i="69" a="1"/>
  <c r="BI51" i="69" s="1"/>
  <c r="BH51" i="69"/>
  <c r="BJ51" i="69" s="1"/>
  <c r="R51" i="69"/>
  <c r="AV51" i="69"/>
  <c r="BE51" i="69" a="1"/>
  <c r="BE51" i="69" s="1"/>
  <c r="BL51" i="69"/>
  <c r="AY51" i="69"/>
  <c r="E51" i="69"/>
  <c r="BM30" i="69"/>
  <c r="AW31" i="69"/>
  <c r="BM47" i="69"/>
  <c r="H70" i="15" a="1"/>
  <c r="H70" i="15" s="1"/>
  <c r="I70" i="15" a="1"/>
  <c r="I70" i="15" s="1"/>
  <c r="BM43" i="69"/>
  <c r="P24" i="69"/>
  <c r="AE24" i="69" s="1" a="1"/>
  <c r="AE24" i="69" s="1"/>
  <c r="W24" i="4"/>
  <c r="AA92" i="4"/>
  <c r="F92" i="69" s="1"/>
  <c r="W79" i="4"/>
  <c r="W63" i="4"/>
  <c r="BC76" i="4"/>
  <c r="AE17" i="4"/>
  <c r="AV1306" i="13" s="1"/>
  <c r="AT17" i="69"/>
  <c r="BC58" i="4"/>
  <c r="AA40" i="4"/>
  <c r="F40" i="69" s="1"/>
  <c r="AA29" i="4"/>
  <c r="F29" i="69" s="1"/>
  <c r="W57" i="4"/>
  <c r="W72" i="4"/>
  <c r="AA88" i="4"/>
  <c r="F88" i="69" s="1"/>
  <c r="W56" i="4"/>
  <c r="BD7" i="4"/>
  <c r="AV1098" i="13" s="1"/>
  <c r="BO7" i="4"/>
  <c r="BM193" i="4"/>
  <c r="W3" i="4"/>
  <c r="P3" i="69"/>
  <c r="AE3" i="69" s="1" a="1"/>
  <c r="AE3" i="69" s="1"/>
  <c r="AL3" i="69" s="1" a="1"/>
  <c r="AL3" i="69" s="1"/>
  <c r="BC14" i="4"/>
  <c r="AA16" i="4"/>
  <c r="F16" i="69" s="1"/>
  <c r="BD29" i="4"/>
  <c r="AV1120" i="13" s="1"/>
  <c r="U29" i="4"/>
  <c r="W84" i="4"/>
  <c r="U84" i="4"/>
  <c r="BD84" i="4"/>
  <c r="AV1175" i="13" s="1"/>
  <c r="BC19" i="4"/>
  <c r="BC28" i="4"/>
  <c r="BC20" i="4"/>
  <c r="BC71" i="4"/>
  <c r="BD4" i="4"/>
  <c r="AV1095" i="13" s="1"/>
  <c r="U4" i="4"/>
  <c r="J4" i="4"/>
  <c r="BD91" i="4"/>
  <c r="AV1182" i="13" s="1"/>
  <c r="BD22" i="4"/>
  <c r="AV1113" i="13" s="1"/>
  <c r="U22" i="4"/>
  <c r="BC13" i="4"/>
  <c r="BC74" i="4"/>
  <c r="BM39" i="69"/>
  <c r="BM40" i="69"/>
  <c r="F102" i="15" a="1"/>
  <c r="F102" i="15" s="1"/>
  <c r="BM23" i="69"/>
  <c r="BK35" i="69"/>
  <c r="AW35" i="69"/>
  <c r="AX35" i="69"/>
  <c r="F179" i="15" a="1"/>
  <c r="F179" i="15" s="1"/>
  <c r="BL33" i="69"/>
  <c r="BH33" i="69"/>
  <c r="BJ33" i="69" s="1"/>
  <c r="BI33" i="69" a="1"/>
  <c r="BI33" i="69" s="1"/>
  <c r="E33" i="69"/>
  <c r="BE33" i="69" a="1"/>
  <c r="BE33" i="69" s="1"/>
  <c r="AY33" i="69"/>
  <c r="AV33" i="69"/>
  <c r="R33" i="69"/>
  <c r="BH40" i="69"/>
  <c r="BJ40" i="69" s="1"/>
  <c r="AY40" i="69"/>
  <c r="R40" i="69"/>
  <c r="BL40" i="69"/>
  <c r="BE40" i="69" a="1"/>
  <c r="BE40" i="69" s="1"/>
  <c r="AV40" i="69"/>
  <c r="BI40" i="69" a="1"/>
  <c r="BI40" i="69" s="1"/>
  <c r="E40" i="69"/>
  <c r="BE52" i="69" a="1"/>
  <c r="BE52" i="69" s="1"/>
  <c r="BI52" i="69" a="1"/>
  <c r="BI52" i="69" s="1"/>
  <c r="E52" i="69"/>
  <c r="R52" i="69"/>
  <c r="AY52" i="69"/>
  <c r="BL52" i="69"/>
  <c r="AV52" i="69"/>
  <c r="BH52" i="69"/>
  <c r="BJ52" i="69" s="1"/>
  <c r="BM38" i="69"/>
  <c r="F374" i="15" a="1"/>
  <c r="F374" i="15" s="1"/>
  <c r="BA83" i="4"/>
  <c r="U83" i="4" s="1"/>
  <c r="BQ83" i="4"/>
  <c r="A302" i="13"/>
  <c r="AX203" i="13"/>
  <c r="A375" i="13"/>
  <c r="AX276" i="13"/>
  <c r="AA73" i="4"/>
  <c r="F73" i="69" s="1"/>
  <c r="AA82" i="4"/>
  <c r="F82" i="69" s="1"/>
  <c r="AE18" i="4"/>
  <c r="AV1307" i="13" s="1"/>
  <c r="AT18" i="69"/>
  <c r="BK18" i="69" s="1"/>
  <c r="AI68" i="4"/>
  <c r="I68" i="69" s="1"/>
  <c r="AI67" i="4"/>
  <c r="I67" i="69" s="1"/>
  <c r="AI11" i="4"/>
  <c r="I11" i="69" s="1"/>
  <c r="AI6" i="4"/>
  <c r="I6" i="69" s="1"/>
  <c r="BC30" i="4"/>
  <c r="AA38" i="4"/>
  <c r="F38" i="69" s="1"/>
  <c r="AI3" i="4"/>
  <c r="I3" i="69" s="1"/>
  <c r="AA6" i="4"/>
  <c r="F6" i="69" s="1"/>
  <c r="BD92" i="4"/>
  <c r="AV1183" i="13" s="1"/>
  <c r="AA11" i="4"/>
  <c r="F11" i="69" s="1"/>
  <c r="AA26" i="4"/>
  <c r="F26" i="69" s="1"/>
  <c r="AA87" i="4"/>
  <c r="F87" i="69" s="1"/>
  <c r="BD58" i="4"/>
  <c r="AV1149" i="13" s="1"/>
  <c r="BO58" i="4"/>
  <c r="U58" i="4"/>
  <c r="J58" i="4"/>
  <c r="AI90" i="4"/>
  <c r="I90" i="69" s="1"/>
  <c r="AE10" i="4"/>
  <c r="AV1299" i="13" s="1"/>
  <c r="AT10" i="69"/>
  <c r="BK10" i="69" s="1"/>
  <c r="AA62" i="4"/>
  <c r="F62" i="69" s="1"/>
  <c r="AA23" i="4"/>
  <c r="F23" i="69" s="1"/>
  <c r="AA74" i="4"/>
  <c r="F74" i="69" s="1"/>
  <c r="AA91" i="4"/>
  <c r="F91" i="69" s="1"/>
  <c r="AI15" i="4"/>
  <c r="I15" i="69" s="1"/>
  <c r="BD75" i="4"/>
  <c r="AV1166" i="13" s="1"/>
  <c r="U75" i="4"/>
  <c r="BO75" i="4"/>
  <c r="P29" i="69"/>
  <c r="AQ29" i="69" s="1" a="1"/>
  <c r="AQ29" i="69" s="1"/>
  <c r="W29" i="4"/>
  <c r="AI59" i="4"/>
  <c r="I59" i="69" s="1"/>
  <c r="AA34" i="4"/>
  <c r="F34" i="69" s="1"/>
  <c r="AA12" i="4"/>
  <c r="F12" i="69" s="1"/>
  <c r="BD14" i="4"/>
  <c r="AV1105" i="13" s="1"/>
  <c r="U14" i="4"/>
  <c r="BO14" i="4"/>
  <c r="AA3" i="4"/>
  <c r="F3" i="69" s="1"/>
  <c r="AE6" i="4"/>
  <c r="AV1295" i="13" s="1"/>
  <c r="AT6" i="69"/>
  <c r="W85" i="4"/>
  <c r="AV1275" i="13" s="1"/>
  <c r="BC66" i="4"/>
  <c r="BC83" i="4"/>
  <c r="BD19" i="4"/>
  <c r="AV1110" i="13" s="1"/>
  <c r="BD28" i="4"/>
  <c r="AV1119" i="13" s="1"/>
  <c r="BO28" i="4"/>
  <c r="BD71" i="4"/>
  <c r="AV1162" i="13" s="1"/>
  <c r="BO13" i="4"/>
  <c r="BD13" i="4"/>
  <c r="AV1104" i="13" s="1"/>
  <c r="U13" i="4"/>
  <c r="AW36" i="69"/>
  <c r="AW54" i="69"/>
  <c r="BG54" i="69"/>
  <c r="AW32" i="69"/>
  <c r="AX32" i="69"/>
  <c r="H466" i="15" a="1"/>
  <c r="H466" i="15" s="1"/>
  <c r="I466" i="15" a="1"/>
  <c r="I466" i="15" s="1"/>
  <c r="E41" i="69"/>
  <c r="BE41" i="69" a="1"/>
  <c r="BE41" i="69" s="1"/>
  <c r="BL41" i="69"/>
  <c r="BH41" i="69"/>
  <c r="BJ41" i="69" s="1"/>
  <c r="AY41" i="69"/>
  <c r="R41" i="69"/>
  <c r="BI41" i="69" a="1"/>
  <c r="BI41" i="69" s="1"/>
  <c r="AV41" i="69"/>
  <c r="BM49" i="69"/>
  <c r="F469" i="15" a="1"/>
  <c r="F469" i="15" s="1"/>
  <c r="BM54" i="69"/>
  <c r="BI21" i="69" a="1"/>
  <c r="BI21" i="69" s="1"/>
  <c r="AY21" i="69"/>
  <c r="AV21" i="69"/>
  <c r="R21" i="69"/>
  <c r="BL21" i="69"/>
  <c r="BH21" i="69"/>
  <c r="BJ21" i="69" s="1"/>
  <c r="BE21" i="69" a="1"/>
  <c r="BE21" i="69" s="1"/>
  <c r="E21" i="69"/>
  <c r="P38" i="69"/>
  <c r="AE38" i="69" s="1" a="1"/>
  <c r="AE38" i="69" s="1"/>
  <c r="W38" i="4"/>
  <c r="AI72" i="4"/>
  <c r="I72" i="69" s="1"/>
  <c r="AI45" i="4"/>
  <c r="I45" i="69" s="1"/>
  <c r="AE20" i="4"/>
  <c r="AV1309" i="13" s="1"/>
  <c r="AT20" i="69"/>
  <c r="AE11" i="4"/>
  <c r="AV1300" i="13" s="1"/>
  <c r="AT11" i="69"/>
  <c r="P49" i="69"/>
  <c r="AE49" i="69" s="1" a="1"/>
  <c r="AE49" i="69" s="1"/>
  <c r="W49" i="4"/>
  <c r="BC92" i="4"/>
  <c r="P54" i="69"/>
  <c r="AQ54" i="69" s="1" a="1"/>
  <c r="AQ54" i="69" s="1"/>
  <c r="W54" i="4"/>
  <c r="BD57" i="4"/>
  <c r="AV1148" i="13" s="1"/>
  <c r="BO57" i="4"/>
  <c r="O57" i="69" s="1"/>
  <c r="P28" i="69"/>
  <c r="AQ28" i="69" s="1" a="1"/>
  <c r="AQ28" i="69" s="1"/>
  <c r="W28" i="4"/>
  <c r="P39" i="69"/>
  <c r="AE39" i="69" s="1" a="1"/>
  <c r="AE39" i="69" s="1"/>
  <c r="W39" i="4"/>
  <c r="P31" i="69"/>
  <c r="AX31" i="69" s="1"/>
  <c r="W31" i="4"/>
  <c r="AI66" i="4"/>
  <c r="I66" i="69" s="1"/>
  <c r="AE15" i="4"/>
  <c r="AV1304" i="13" s="1"/>
  <c r="AV1289" i="13" s="1" a="1"/>
  <c r="AV1289" i="13" s="1"/>
  <c r="AT15" i="69"/>
  <c r="AA30" i="4"/>
  <c r="F30" i="69" s="1"/>
  <c r="AA39" i="4"/>
  <c r="F39" i="69" s="1"/>
  <c r="BC38" i="4"/>
  <c r="AA48" i="4"/>
  <c r="F48" i="69" s="1"/>
  <c r="AI87" i="4"/>
  <c r="I87" i="69" s="1"/>
  <c r="AA10" i="4"/>
  <c r="F10" i="69" s="1"/>
  <c r="AA25" i="4"/>
  <c r="F25" i="69" s="1"/>
  <c r="AI38" i="4"/>
  <c r="I38" i="69" s="1"/>
  <c r="W65" i="4"/>
  <c r="AA14" i="4"/>
  <c r="F14" i="69" s="1"/>
  <c r="P37" i="69"/>
  <c r="AQ37" i="69" s="1" a="1"/>
  <c r="AQ37" i="69" s="1"/>
  <c r="W37" i="4"/>
  <c r="BC84" i="4"/>
  <c r="BD66" i="4"/>
  <c r="AV1157" i="13" s="1"/>
  <c r="BD83" i="4"/>
  <c r="AV1174" i="13" s="1"/>
  <c r="BD20" i="4"/>
  <c r="AV1111" i="13" s="1"/>
  <c r="BO20" i="4"/>
  <c r="BC4" i="4"/>
  <c r="BC91" i="4"/>
  <c r="BC22" i="4"/>
  <c r="BC93" i="4"/>
  <c r="AG55" i="4" a="1"/>
  <c r="AF55" i="4" a="1"/>
  <c r="AC55" i="4" a="1"/>
  <c r="AD55" i="4" a="1"/>
  <c r="AK55" i="4" a="1"/>
  <c r="AL55" i="4" a="1"/>
  <c r="X55" i="4" a="1"/>
  <c r="Y55" i="4" a="1"/>
  <c r="BK71" i="69" l="1"/>
  <c r="BK75" i="69"/>
  <c r="AG51" i="69" a="1"/>
  <c r="AG51" i="69" s="1"/>
  <c r="BK39" i="69"/>
  <c r="BK59" i="69"/>
  <c r="AX69" i="69"/>
  <c r="AV73" i="69"/>
  <c r="AW50" i="69"/>
  <c r="AH35" i="69" a="1"/>
  <c r="AH35" i="69" s="1"/>
  <c r="AY78" i="69"/>
  <c r="AX50" i="69"/>
  <c r="E78" i="69"/>
  <c r="BK46" i="69"/>
  <c r="AZ78" i="69"/>
  <c r="AV78" i="69"/>
  <c r="BK37" i="69"/>
  <c r="AN51" i="69" a="1"/>
  <c r="AN51" i="69" s="1"/>
  <c r="U8" i="4"/>
  <c r="BB1737" i="13" a="1"/>
  <c r="BB1737" i="13" s="1"/>
  <c r="BE1757" i="13" a="1"/>
  <c r="BE1757" i="13" s="1"/>
  <c r="AZ73" i="69"/>
  <c r="AW49" i="69"/>
  <c r="F195" i="15" a="1"/>
  <c r="F195" i="15" s="1"/>
  <c r="BO23" i="4"/>
  <c r="BC23" i="69" s="1"/>
  <c r="BE1756" i="13" a="1"/>
  <c r="BE1756" i="13" s="1"/>
  <c r="BB1759" i="13" a="1"/>
  <c r="BB1759" i="13" s="1"/>
  <c r="BC1756" i="13" a="1"/>
  <c r="BC1756" i="13" s="1"/>
  <c r="BD1758" i="13" a="1"/>
  <c r="BD1758" i="13" s="1"/>
  <c r="BC1758" i="13" a="1"/>
  <c r="BC1758" i="13" s="1"/>
  <c r="AV71" i="69"/>
  <c r="BC60" i="4"/>
  <c r="BO71" i="4"/>
  <c r="BC71" i="69" s="1"/>
  <c r="BE1758" i="13" a="1"/>
  <c r="BE1758" i="13" s="1"/>
  <c r="M492" i="15" a="1"/>
  <c r="M492" i="15" s="1"/>
  <c r="N492" i="15" a="1"/>
  <c r="N492" i="15" s="1"/>
  <c r="K492" i="15" a="1"/>
  <c r="K492" i="15" s="1"/>
  <c r="L492" i="15" a="1"/>
  <c r="L492" i="15" s="1"/>
  <c r="AZ83" i="69"/>
  <c r="BE1759" i="13" a="1"/>
  <c r="BE1759" i="13" s="1"/>
  <c r="BA1758" i="13" a="1"/>
  <c r="BA1758" i="13" s="1"/>
  <c r="AW46" i="69"/>
  <c r="BK25" i="69"/>
  <c r="BM73" i="69"/>
  <c r="H403" i="15" a="1"/>
  <c r="H403" i="15" s="1"/>
  <c r="I403" i="15" a="1"/>
  <c r="I403" i="15" s="1"/>
  <c r="U70" i="4"/>
  <c r="U33" i="4"/>
  <c r="BC1759" i="13" a="1"/>
  <c r="BC1759" i="13" s="1"/>
  <c r="K491" i="15" a="1"/>
  <c r="K491" i="15" s="1"/>
  <c r="L491" i="15" a="1"/>
  <c r="L491" i="15" s="1"/>
  <c r="M491" i="15" a="1"/>
  <c r="M491" i="15" s="1"/>
  <c r="N491" i="15" a="1"/>
  <c r="N491" i="15" s="1"/>
  <c r="BA1757" i="13" a="1"/>
  <c r="BA1757" i="13" s="1"/>
  <c r="BC1757" i="13" a="1"/>
  <c r="BC1757" i="13" s="1"/>
  <c r="BB1739" i="13" a="1"/>
  <c r="BB1739" i="13" s="1"/>
  <c r="BO66" i="4"/>
  <c r="O66" i="69" s="1"/>
  <c r="BO47" i="4"/>
  <c r="BC47" i="69" s="1"/>
  <c r="BO70" i="4"/>
  <c r="O70" i="69" s="1"/>
  <c r="F270" i="15" a="1"/>
  <c r="F270" i="15" s="1"/>
  <c r="H270" i="15" s="1" a="1"/>
  <c r="H270" i="15" s="1"/>
  <c r="BK41" i="69"/>
  <c r="U78" i="4"/>
  <c r="F462" i="15" a="1"/>
  <c r="F462" i="15" s="1"/>
  <c r="F391" i="15" a="1"/>
  <c r="F391" i="15" s="1"/>
  <c r="F142" i="15" a="1"/>
  <c r="F142" i="15" s="1"/>
  <c r="I142" i="15" s="1" a="1"/>
  <c r="I142" i="15" s="1"/>
  <c r="BB1738" i="13" a="1"/>
  <c r="BB1738" i="13" s="1"/>
  <c r="BD1759" i="13" a="1"/>
  <c r="BD1759" i="13" s="1"/>
  <c r="F154" i="15" a="1"/>
  <c r="F154" i="15" s="1"/>
  <c r="U23" i="4"/>
  <c r="BF1736" i="13" a="1"/>
  <c r="BF1736" i="13" s="1"/>
  <c r="BB1758" i="13" a="1"/>
  <c r="BB1758" i="13" s="1"/>
  <c r="BH75" i="69"/>
  <c r="BJ75" i="69" s="1"/>
  <c r="BE75" i="69" a="1"/>
  <c r="BE75" i="69" s="1"/>
  <c r="BI75" i="69" a="1"/>
  <c r="BI75" i="69" s="1"/>
  <c r="BB1756" i="13" a="1"/>
  <c r="BB1756" i="13" s="1"/>
  <c r="F200" i="15" a="1"/>
  <c r="F200" i="15" s="1"/>
  <c r="F328" i="15" a="1"/>
  <c r="F328" i="15" s="1"/>
  <c r="BA1756" i="13" a="1"/>
  <c r="BA1756" i="13" s="1"/>
  <c r="BD1756" i="13" a="1"/>
  <c r="BD1756" i="13" s="1"/>
  <c r="F285" i="15" a="1"/>
  <c r="F285" i="15" s="1"/>
  <c r="I285" i="15" s="1" a="1"/>
  <c r="I285" i="15" s="1"/>
  <c r="U71" i="4"/>
  <c r="BO24" i="4"/>
  <c r="BO38" i="4"/>
  <c r="AH51" i="69" a="1"/>
  <c r="AH51" i="69" s="1"/>
  <c r="BE73" i="69" a="1"/>
  <c r="BE73" i="69" s="1"/>
  <c r="BM70" i="69"/>
  <c r="AW71" i="69"/>
  <c r="U92" i="4"/>
  <c r="BO93" i="4"/>
  <c r="BC93" i="69" s="1"/>
  <c r="U37" i="4"/>
  <c r="R73" i="69"/>
  <c r="U51" i="4"/>
  <c r="AZ88" i="69"/>
  <c r="BL75" i="69"/>
  <c r="U31" i="4"/>
  <c r="AX88" i="69"/>
  <c r="BK86" i="69"/>
  <c r="BK89" i="69"/>
  <c r="BO64" i="4"/>
  <c r="O64" i="69" s="1"/>
  <c r="F426" i="15" a="1"/>
  <c r="F426" i="15" s="1"/>
  <c r="H426" i="15" s="1" a="1"/>
  <c r="H426" i="15" s="1"/>
  <c r="BO83" i="4"/>
  <c r="BC83" i="69" s="1"/>
  <c r="B57" i="23"/>
  <c r="F59" i="15" a="1"/>
  <c r="F59" i="15" s="1"/>
  <c r="G16" i="27" a="1"/>
  <c r="G16" i="27" s="1"/>
  <c r="G14" i="27" s="1"/>
  <c r="BA1759" i="13" a="1"/>
  <c r="BA1759" i="13" s="1"/>
  <c r="I31" i="27"/>
  <c r="I19" i="27" s="1"/>
  <c r="B7" i="27" s="1"/>
  <c r="BB1757" i="13" a="1"/>
  <c r="BB1757" i="13" s="1"/>
  <c r="U10" i="4"/>
  <c r="F223" i="15" a="1"/>
  <c r="F223" i="15" s="1"/>
  <c r="H223" i="15" s="1" a="1"/>
  <c r="H223" i="15" s="1"/>
  <c r="BO36" i="4"/>
  <c r="O36" i="69" s="1"/>
  <c r="BO78" i="4"/>
  <c r="BC78" i="69" s="1"/>
  <c r="F166" i="15" a="1"/>
  <c r="F166" i="15" s="1"/>
  <c r="I166" i="15" s="1" a="1"/>
  <c r="I166" i="15" s="1"/>
  <c r="BD1757" i="13" a="1"/>
  <c r="BD1757" i="13" s="1"/>
  <c r="BO86" i="4"/>
  <c r="O86" i="69" s="1"/>
  <c r="BK77" i="69"/>
  <c r="AZ89" i="69"/>
  <c r="K490" i="15" a="1"/>
  <c r="K490" i="15" s="1"/>
  <c r="M490" i="15" a="1"/>
  <c r="M490" i="15" s="1"/>
  <c r="L490" i="15" a="1"/>
  <c r="L490" i="15" s="1"/>
  <c r="N490" i="15" a="1"/>
  <c r="N490" i="15" s="1"/>
  <c r="AW89" i="69"/>
  <c r="BO10" i="4"/>
  <c r="O10" i="69" s="1"/>
  <c r="BG35" i="69"/>
  <c r="AQ89" i="69" a="1"/>
  <c r="AQ89" i="69" s="1"/>
  <c r="AQ66" i="69" a="1"/>
  <c r="AQ66" i="69" s="1"/>
  <c r="AX36" i="69"/>
  <c r="U45" i="4"/>
  <c r="AE92" i="69" a="1"/>
  <c r="AE92" i="69" s="1"/>
  <c r="AR92" i="69" s="1" a="1"/>
  <c r="AR92" i="69" s="1"/>
  <c r="AE89" i="69" a="1"/>
  <c r="AE89" i="69" s="1"/>
  <c r="AS89" i="69" s="1" a="1"/>
  <c r="AS89" i="69" s="1"/>
  <c r="U81" i="4"/>
  <c r="AW76" i="69"/>
  <c r="AX76" i="69"/>
  <c r="AW59" i="69"/>
  <c r="BO9" i="4"/>
  <c r="BC9" i="69" s="1"/>
  <c r="BK61" i="69"/>
  <c r="U3" i="4"/>
  <c r="AX67" i="69"/>
  <c r="AW56" i="69"/>
  <c r="AE57" i="69" a="1"/>
  <c r="AE57" i="69" s="1"/>
  <c r="AS57" i="69" s="1" a="1"/>
  <c r="AS57" i="69" s="1"/>
  <c r="BK85" i="69"/>
  <c r="AE82" i="69" a="1"/>
  <c r="AE82" i="69" s="1"/>
  <c r="BG67" i="69"/>
  <c r="AE69" i="69" a="1"/>
  <c r="AE69" i="69" s="1"/>
  <c r="AN69" i="69" s="1" a="1"/>
  <c r="AN69" i="69" s="1"/>
  <c r="AZ90" i="69"/>
  <c r="BK83" i="69"/>
  <c r="AE84" i="69" a="1"/>
  <c r="AE84" i="69" s="1"/>
  <c r="AL84" i="69" s="1" a="1"/>
  <c r="AL84" i="69" s="1"/>
  <c r="AZ82" i="69"/>
  <c r="AE68" i="69" a="1"/>
  <c r="AE68" i="69" s="1"/>
  <c r="AI68" i="69" s="1" a="1"/>
  <c r="AI68" i="69" s="1"/>
  <c r="BL73" i="69"/>
  <c r="AQ81" i="69" a="1"/>
  <c r="AQ81" i="69" s="1"/>
  <c r="AE65" i="69" a="1"/>
  <c r="AE65" i="69" s="1"/>
  <c r="AP65" i="69" s="1" a="1"/>
  <c r="AP65" i="69" s="1"/>
  <c r="AE76" i="69" a="1"/>
  <c r="AE76" i="69" s="1"/>
  <c r="AI76" i="69" s="1" a="1"/>
  <c r="AI76" i="69" s="1"/>
  <c r="AE79" i="69" a="1"/>
  <c r="AE79" i="69" s="1"/>
  <c r="AL79" i="69" s="1" a="1"/>
  <c r="AL79" i="69" s="1"/>
  <c r="BK90" i="69"/>
  <c r="BG44" i="69"/>
  <c r="BG31" i="69"/>
  <c r="BG24" i="69"/>
  <c r="AX89" i="69"/>
  <c r="AQ59" i="69" a="1"/>
  <c r="AQ59" i="69" s="1"/>
  <c r="BK76" i="69"/>
  <c r="L67" i="69"/>
  <c r="BK68" i="69"/>
  <c r="AQ69" i="69" a="1"/>
  <c r="AQ69" i="69" s="1"/>
  <c r="G17" i="69"/>
  <c r="AX56" i="69"/>
  <c r="AE70" i="69" a="1"/>
  <c r="AE70" i="69" s="1"/>
  <c r="AL70" i="69" s="1" a="1"/>
  <c r="AL70" i="69" s="1"/>
  <c r="AE58" i="69" a="1"/>
  <c r="AE58" i="69" s="1"/>
  <c r="AL58" i="69" s="1" a="1"/>
  <c r="AL58" i="69" s="1"/>
  <c r="BG32" i="69"/>
  <c r="B6" i="69"/>
  <c r="AZ79" i="69"/>
  <c r="AZ61" i="69"/>
  <c r="AE74" i="69" a="1"/>
  <c r="AE74" i="69" s="1"/>
  <c r="AH74" i="69" s="1" a="1"/>
  <c r="AH74" i="69" s="1"/>
  <c r="B18" i="69"/>
  <c r="G16" i="69"/>
  <c r="AZ77" i="69"/>
  <c r="AZ68" i="69"/>
  <c r="BK72" i="69"/>
  <c r="AL23" i="69" a="1"/>
  <c r="AL23" i="69" s="1"/>
  <c r="B17" i="69"/>
  <c r="L75" i="69"/>
  <c r="BM62" i="69"/>
  <c r="G20" i="69"/>
  <c r="G6" i="69"/>
  <c r="BK74" i="69"/>
  <c r="AW86" i="69"/>
  <c r="AE80" i="69" a="1"/>
  <c r="AE80" i="69" s="1"/>
  <c r="AH80" i="69" s="1" a="1"/>
  <c r="AH80" i="69" s="1"/>
  <c r="BK78" i="69"/>
  <c r="AZ56" i="69"/>
  <c r="AE88" i="69" a="1"/>
  <c r="AE88" i="69" s="1"/>
  <c r="AL88" i="69" s="1" a="1"/>
  <c r="AL88" i="69" s="1"/>
  <c r="B14" i="69"/>
  <c r="B7" i="69"/>
  <c r="AQ73" i="69" a="1"/>
  <c r="AQ73" i="69" s="1"/>
  <c r="AX62" i="69"/>
  <c r="AZ74" i="69"/>
  <c r="G15" i="69"/>
  <c r="BK65" i="69"/>
  <c r="BK64" i="69"/>
  <c r="AW63" i="69"/>
  <c r="AE75" i="69" a="1"/>
  <c r="AE75" i="69" s="1"/>
  <c r="AL75" i="69" s="1" a="1"/>
  <c r="AL75" i="69" s="1"/>
  <c r="AW80" i="69"/>
  <c r="AQ67" i="69" a="1"/>
  <c r="AQ67" i="69" s="1"/>
  <c r="BO6" i="4"/>
  <c r="O6" i="69" s="1"/>
  <c r="B15" i="69"/>
  <c r="AX59" i="69"/>
  <c r="AX92" i="69"/>
  <c r="AQ63" i="69" a="1"/>
  <c r="AQ63" i="69" s="1"/>
  <c r="BK82" i="69"/>
  <c r="AX33" i="69"/>
  <c r="R86" i="69"/>
  <c r="AE77" i="69" a="1"/>
  <c r="AE77" i="69" s="1"/>
  <c r="AI77" i="69" s="1" a="1"/>
  <c r="AI77" i="69" s="1"/>
  <c r="AQ85" i="69" a="1"/>
  <c r="AQ85" i="69" s="1"/>
  <c r="AW82" i="69"/>
  <c r="BL7" i="69"/>
  <c r="BE7" i="69" a="1"/>
  <c r="BE7" i="69" s="1"/>
  <c r="G5" i="69"/>
  <c r="BG30" i="69"/>
  <c r="B19" i="69"/>
  <c r="BL17" i="69"/>
  <c r="BE17" i="69" a="1"/>
  <c r="BE17" i="69" s="1"/>
  <c r="AH33" i="69" a="1"/>
  <c r="AH33" i="69" s="1"/>
  <c r="AE86" i="69" a="1"/>
  <c r="AE86" i="69" s="1"/>
  <c r="AI86" i="69" s="1" a="1"/>
  <c r="AI86" i="69" s="1"/>
  <c r="BG69" i="69"/>
  <c r="AX84" i="69"/>
  <c r="AX82" i="69"/>
  <c r="AW74" i="69"/>
  <c r="BO31" i="4"/>
  <c r="O31" i="69" s="1"/>
  <c r="AX91" i="69"/>
  <c r="AQ88" i="69" a="1"/>
  <c r="AQ88" i="69" s="1"/>
  <c r="G7" i="69"/>
  <c r="AQ58" i="69" a="1"/>
  <c r="AQ58" i="69" s="1"/>
  <c r="AZ75" i="69"/>
  <c r="F81" i="15" a="1"/>
  <c r="F81" i="15" s="1"/>
  <c r="H81" i="15" s="1" a="1"/>
  <c r="H81" i="15" s="1"/>
  <c r="BG22" i="69"/>
  <c r="AQ56" i="69" a="1"/>
  <c r="AQ56" i="69" s="1"/>
  <c r="AE72" i="69" a="1"/>
  <c r="AE72" i="69" s="1"/>
  <c r="AI72" i="69" s="1" a="1"/>
  <c r="AI72" i="69" s="1"/>
  <c r="AQ93" i="69" a="1"/>
  <c r="AQ93" i="69" s="1"/>
  <c r="AX24" i="69"/>
  <c r="AQ80" i="69" a="1"/>
  <c r="AQ80" i="69" s="1"/>
  <c r="AZ57" i="69"/>
  <c r="AQ61" i="69" a="1"/>
  <c r="AQ61" i="69" s="1"/>
  <c r="AQ57" i="69" a="1"/>
  <c r="AQ57" i="69" s="1"/>
  <c r="AX85" i="69"/>
  <c r="BB1736" i="13" a="1"/>
  <c r="BB1736" i="13" s="1"/>
  <c r="AX22" i="69"/>
  <c r="AE83" i="69" a="1"/>
  <c r="AE83" i="69" s="1"/>
  <c r="AH83" i="69" s="1" a="1"/>
  <c r="AH83" i="69" s="1"/>
  <c r="F91" i="15" a="1"/>
  <c r="F91" i="15" s="1"/>
  <c r="AE85" i="69" a="1"/>
  <c r="AE85" i="69" s="1"/>
  <c r="AI85" i="69" s="1" a="1"/>
  <c r="AI85" i="69" s="1"/>
  <c r="BK79" i="69"/>
  <c r="B10" i="69"/>
  <c r="AQ77" i="69" a="1"/>
  <c r="AQ77" i="69" s="1"/>
  <c r="BK56" i="69"/>
  <c r="AE66" i="69" a="1"/>
  <c r="AE66" i="69" s="1"/>
  <c r="AL66" i="69" s="1" a="1"/>
  <c r="AL66" i="69" s="1"/>
  <c r="F378" i="15" a="1"/>
  <c r="F378" i="15" s="1"/>
  <c r="I378" i="15" s="1" a="1"/>
  <c r="I378" i="15" s="1"/>
  <c r="BK80" i="69"/>
  <c r="E67" i="69"/>
  <c r="AE91" i="69" a="1"/>
  <c r="AE91" i="69" s="1"/>
  <c r="AM91" i="69" s="1" a="1"/>
  <c r="AM91" i="69" s="1"/>
  <c r="AI21" i="4"/>
  <c r="I21" i="69" s="1"/>
  <c r="F356" i="15" a="1"/>
  <c r="F356" i="15" s="1"/>
  <c r="H356" i="15" s="1" a="1"/>
  <c r="H356" i="15" s="1"/>
  <c r="BK69" i="69"/>
  <c r="BK87" i="69"/>
  <c r="BO56" i="4"/>
  <c r="BC56" i="69" s="1"/>
  <c r="G12" i="69"/>
  <c r="BG27" i="69"/>
  <c r="D57" i="23"/>
  <c r="BG53" i="69"/>
  <c r="AQ79" i="69" a="1"/>
  <c r="AQ79" i="69" s="1"/>
  <c r="F62" i="15" a="1"/>
  <c r="F62" i="15" s="1"/>
  <c r="N483" i="15" a="1"/>
  <c r="N483" i="15" s="1"/>
  <c r="G14" i="69"/>
  <c r="BO27" i="4"/>
  <c r="O27" i="69" s="1"/>
  <c r="AQ84" i="69" a="1"/>
  <c r="AQ84" i="69" s="1"/>
  <c r="AZ85" i="69"/>
  <c r="AX77" i="69"/>
  <c r="Y55" i="4"/>
  <c r="X55" i="4"/>
  <c r="CX55" i="4" s="1"/>
  <c r="AQ3" i="1" s="1" a="1"/>
  <c r="AQ3" i="1" s="1"/>
  <c r="AL55" i="4"/>
  <c r="AK55" i="4"/>
  <c r="AD55" i="4"/>
  <c r="AC55" i="4"/>
  <c r="AF55" i="4"/>
  <c r="AG55" i="4"/>
  <c r="H215" i="15" a="1"/>
  <c r="H215" i="15" s="1"/>
  <c r="I215" i="15" a="1"/>
  <c r="I215" i="15" s="1"/>
  <c r="O67" i="69"/>
  <c r="BC67" i="69"/>
  <c r="AO27" i="69" a="1"/>
  <c r="AO27" i="69" s="1"/>
  <c r="AS27" i="69" a="1"/>
  <c r="AS27" i="69" s="1"/>
  <c r="AR27" i="69" a="1"/>
  <c r="AR27" i="69" s="1"/>
  <c r="AM27" i="69" a="1"/>
  <c r="AM27" i="69" s="1"/>
  <c r="AN27" i="69" a="1"/>
  <c r="AN27" i="69" s="1"/>
  <c r="AI27" i="69" a="1"/>
  <c r="AI27" i="69" s="1"/>
  <c r="AG27" i="69" a="1"/>
  <c r="AG27" i="69" s="1"/>
  <c r="AP27" i="69" a="1"/>
  <c r="AP27" i="69" s="1"/>
  <c r="AL27" i="69" a="1"/>
  <c r="AL27" i="69" s="1"/>
  <c r="AH27" i="69" a="1"/>
  <c r="AH27" i="69" s="1"/>
  <c r="BF27" i="69" a="1"/>
  <c r="BF27" i="69" s="1"/>
  <c r="AL24" i="69" a="1"/>
  <c r="AL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I24" i="69" a="1"/>
  <c r="AI24" i="69" s="1"/>
  <c r="AN24" i="69" a="1"/>
  <c r="AN24" i="69" s="1"/>
  <c r="AP24" i="69" a="1"/>
  <c r="AP24" i="69" s="1"/>
  <c r="AH24" i="69" a="1"/>
  <c r="AH24" i="69" s="1"/>
  <c r="BF24" i="69" a="1"/>
  <c r="BF24" i="69" s="1"/>
  <c r="I426" i="15" a="1"/>
  <c r="I426" i="15" s="1"/>
  <c r="H406" i="15" a="1"/>
  <c r="H406" i="15" s="1"/>
  <c r="I406" i="15" a="1"/>
  <c r="I406" i="15" s="1"/>
  <c r="H280" i="15" a="1"/>
  <c r="H280" i="15" s="1"/>
  <c r="I280" i="15" a="1"/>
  <c r="I280" i="15" s="1"/>
  <c r="H235" i="15" a="1"/>
  <c r="H235" i="15" s="1"/>
  <c r="I235" i="15" a="1"/>
  <c r="I235" i="15" s="1"/>
  <c r="BC44" i="69"/>
  <c r="O44" i="69"/>
  <c r="AL44" i="69" a="1"/>
  <c r="AL44" i="69" s="1"/>
  <c r="AO44" i="69" a="1"/>
  <c r="AO44" i="69" s="1"/>
  <c r="AM44" i="69" a="1"/>
  <c r="AM44" i="69" s="1"/>
  <c r="AG44" i="69" a="1"/>
  <c r="AG44" i="69" s="1"/>
  <c r="AN44" i="69" a="1"/>
  <c r="AN44" i="69" s="1"/>
  <c r="AS44" i="69" a="1"/>
  <c r="AS44" i="69" s="1"/>
  <c r="AI44" i="69" a="1"/>
  <c r="AI44" i="69" s="1"/>
  <c r="AR44" i="69" a="1"/>
  <c r="AR44" i="69" s="1"/>
  <c r="AP44" i="69" a="1"/>
  <c r="AP44" i="69" s="1"/>
  <c r="BF44" i="69" a="1"/>
  <c r="BF44" i="69" s="1"/>
  <c r="AH44" i="69" a="1"/>
  <c r="AH44" i="69" s="1"/>
  <c r="AL46" i="69" a="1"/>
  <c r="AL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M46" i="69" a="1"/>
  <c r="AM46" i="69" s="1"/>
  <c r="AP46" i="69" a="1"/>
  <c r="AP46" i="69" s="1"/>
  <c r="BF46" i="69" a="1"/>
  <c r="BF46" i="69" s="1"/>
  <c r="AH46" i="69" a="1"/>
  <c r="AH46" i="69" s="1"/>
  <c r="AH41" i="69" a="1"/>
  <c r="AH41" i="69" s="1"/>
  <c r="AO41" i="69" a="1"/>
  <c r="AO41" i="69" s="1"/>
  <c r="AM41" i="69" a="1"/>
  <c r="AM41" i="69" s="1"/>
  <c r="AS41" i="69" a="1"/>
  <c r="AS41" i="69" s="1"/>
  <c r="AR41" i="69" a="1"/>
  <c r="AR41" i="69" s="1"/>
  <c r="AI41" i="69" a="1"/>
  <c r="AI41" i="69" s="1"/>
  <c r="AN41" i="69" a="1"/>
  <c r="AN41" i="69" s="1"/>
  <c r="AG41" i="69" a="1"/>
  <c r="AG41" i="69" s="1"/>
  <c r="AP41" i="69" a="1"/>
  <c r="AP41" i="69" s="1"/>
  <c r="AL41" i="69" a="1"/>
  <c r="AL41" i="69" s="1"/>
  <c r="BF41" i="69" a="1"/>
  <c r="BF41" i="69" s="1"/>
  <c r="I250" i="15" a="1"/>
  <c r="I250" i="15" s="1"/>
  <c r="H250" i="15" a="1"/>
  <c r="H250" i="15" s="1"/>
  <c r="I210" i="15" a="1"/>
  <c r="I210" i="15" s="1"/>
  <c r="H210" i="15" a="1"/>
  <c r="H210" i="15" s="1"/>
  <c r="AN36" i="69" a="1"/>
  <c r="AN36" i="69" s="1"/>
  <c r="AI36" i="69" a="1"/>
  <c r="AI36" i="69" s="1"/>
  <c r="AO36" i="69" a="1"/>
  <c r="AO36" i="69" s="1"/>
  <c r="AG36" i="69" a="1"/>
  <c r="AG36" i="69" s="1"/>
  <c r="AM36" i="69" a="1"/>
  <c r="AM36" i="69" s="1"/>
  <c r="AS36" i="69" a="1"/>
  <c r="AS36" i="69" s="1"/>
  <c r="AR36" i="69" a="1"/>
  <c r="AR36" i="69" s="1"/>
  <c r="AP36" i="69" a="1"/>
  <c r="AP36" i="69" s="1"/>
  <c r="AL36" i="69" a="1"/>
  <c r="AL36" i="69" s="1"/>
  <c r="AH36" i="69" a="1"/>
  <c r="AH36" i="69" s="1"/>
  <c r="BF36" i="69" a="1"/>
  <c r="BF36" i="69" s="1"/>
  <c r="I300" i="15" a="1"/>
  <c r="I300" i="15" s="1"/>
  <c r="H300" i="15" a="1"/>
  <c r="H300" i="15" s="1"/>
  <c r="AL39" i="69" a="1"/>
  <c r="AL39" i="69" s="1"/>
  <c r="AM39" i="69" a="1"/>
  <c r="AM39" i="69" s="1"/>
  <c r="AR39" i="69" a="1"/>
  <c r="AR39" i="69" s="1"/>
  <c r="AO39" i="69" a="1"/>
  <c r="AO39" i="69" s="1"/>
  <c r="AS39" i="69" a="1"/>
  <c r="AS39" i="69" s="1"/>
  <c r="AG39" i="69" a="1"/>
  <c r="AG39" i="69" s="1"/>
  <c r="AN39" i="69" a="1"/>
  <c r="AN39" i="69" s="1"/>
  <c r="AI39" i="69" a="1"/>
  <c r="AI39" i="69" s="1"/>
  <c r="AP39" i="69" a="1"/>
  <c r="AP39" i="69" s="1"/>
  <c r="AH39" i="69" a="1"/>
  <c r="AH39" i="69" s="1"/>
  <c r="BF39" i="69" a="1"/>
  <c r="BF39" i="69" s="1"/>
  <c r="AH38" i="69" a="1"/>
  <c r="AH38" i="69" s="1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BF38" i="69" a="1"/>
  <c r="BF38" i="69" s="1"/>
  <c r="AL38" i="69" a="1"/>
  <c r="AL38" i="69" s="1"/>
  <c r="AS45" i="69" a="1"/>
  <c r="AS45" i="69" s="1"/>
  <c r="AR45" i="69" a="1"/>
  <c r="AR45" i="69" s="1"/>
  <c r="AI45" i="69" a="1"/>
  <c r="AI45" i="69" s="1"/>
  <c r="AM45" i="69" a="1"/>
  <c r="AM45" i="69" s="1"/>
  <c r="AO45" i="69" a="1"/>
  <c r="AO45" i="69" s="1"/>
  <c r="AP45" i="69" a="1"/>
  <c r="AP45" i="69" s="1"/>
  <c r="AL45" i="69" a="1"/>
  <c r="AL45" i="69" s="1"/>
  <c r="BF45" i="69" a="1"/>
  <c r="BF45" i="69" s="1"/>
  <c r="AH45" i="69" a="1"/>
  <c r="AH45" i="69" s="1"/>
  <c r="AL48" i="69" a="1"/>
  <c r="AL48" i="69" s="1"/>
  <c r="AN48" i="69" a="1"/>
  <c r="AN48" i="69" s="1"/>
  <c r="AM48" i="69" a="1"/>
  <c r="AM48" i="69" s="1"/>
  <c r="AG48" i="69" a="1"/>
  <c r="AG48" i="69" s="1"/>
  <c r="AR48" i="69" a="1"/>
  <c r="AR48" i="69" s="1"/>
  <c r="AO48" i="69" a="1"/>
  <c r="AO48" i="69" s="1"/>
  <c r="AS48" i="69" a="1"/>
  <c r="AS48" i="69" s="1"/>
  <c r="AI48" i="69" a="1"/>
  <c r="AI48" i="69" s="1"/>
  <c r="AP48" i="69" a="1"/>
  <c r="AP48" i="69" s="1"/>
  <c r="AH48" i="69" a="1"/>
  <c r="AH48" i="69" s="1"/>
  <c r="BF48" i="69" a="1"/>
  <c r="BF48" i="69" s="1"/>
  <c r="AH49" i="69" a="1"/>
  <c r="AH49" i="69" s="1"/>
  <c r="AM49" i="69" a="1"/>
  <c r="AM49" i="69" s="1"/>
  <c r="AN49" i="69" a="1"/>
  <c r="AN49" i="69" s="1"/>
  <c r="AI49" i="69" a="1"/>
  <c r="AI49" i="69" s="1"/>
  <c r="AG49" i="69" a="1"/>
  <c r="AG49" i="69" s="1"/>
  <c r="AS49" i="69" a="1"/>
  <c r="AS49" i="69" s="1"/>
  <c r="AO49" i="69" a="1"/>
  <c r="AO49" i="69" s="1"/>
  <c r="AR49" i="69" a="1"/>
  <c r="AR49" i="69" s="1"/>
  <c r="AP49" i="69" a="1"/>
  <c r="AP49" i="69" s="1"/>
  <c r="BF49" i="69" a="1"/>
  <c r="BF49" i="69" s="1"/>
  <c r="AL49" i="69" a="1"/>
  <c r="AL49" i="69" s="1"/>
  <c r="O76" i="69"/>
  <c r="BC76" i="69"/>
  <c r="AV1221" i="13"/>
  <c r="B31" i="69"/>
  <c r="BK11" i="69"/>
  <c r="AW11" i="69"/>
  <c r="AX11" i="69"/>
  <c r="BG11" i="69"/>
  <c r="AV1251" i="13"/>
  <c r="B61" i="69"/>
  <c r="H108" i="15" a="1"/>
  <c r="H108" i="15" s="1"/>
  <c r="I108" i="15" a="1"/>
  <c r="I108" i="15" s="1"/>
  <c r="H453" i="15" a="1"/>
  <c r="H453" i="15" s="1"/>
  <c r="I453" i="15" a="1"/>
  <c r="I453" i="15" s="1"/>
  <c r="BC52" i="69"/>
  <c r="O52" i="69"/>
  <c r="BK9" i="69"/>
  <c r="BG9" i="69"/>
  <c r="AW9" i="69"/>
  <c r="AX9" i="69"/>
  <c r="I262" i="15" a="1"/>
  <c r="I262" i="15" s="1"/>
  <c r="H262" i="15" a="1"/>
  <c r="H262" i="15" s="1"/>
  <c r="BG8" i="69"/>
  <c r="AW8" i="69"/>
  <c r="AX8" i="69"/>
  <c r="AV1233" i="13"/>
  <c r="B43" i="69"/>
  <c r="AV1236" i="13"/>
  <c r="B46" i="69"/>
  <c r="AV1264" i="13"/>
  <c r="B74" i="69"/>
  <c r="B20" i="69"/>
  <c r="AV1222" i="13"/>
  <c r="B32" i="69"/>
  <c r="AQ45" i="69" a="1"/>
  <c r="AQ45" i="69" s="1"/>
  <c r="AX380" i="13"/>
  <c r="A479" i="13"/>
  <c r="AV563" i="13"/>
  <c r="BE66" i="4"/>
  <c r="BI66" i="4"/>
  <c r="AR71" i="4"/>
  <c r="V71" i="4"/>
  <c r="AQ71" i="4" a="1"/>
  <c r="AQ71" i="4" s="1"/>
  <c r="H71" i="69" s="1"/>
  <c r="AS71" i="4" a="1"/>
  <c r="AS71" i="4" s="1"/>
  <c r="C71" i="69" s="1"/>
  <c r="D71" i="69" s="1" a="1"/>
  <c r="D71" i="69" s="1"/>
  <c r="CU71" i="4"/>
  <c r="CV71" i="4" s="1"/>
  <c r="BN71" i="4"/>
  <c r="BE91" i="4"/>
  <c r="AV588" i="13"/>
  <c r="BI91" i="4"/>
  <c r="AQ31" i="69" a="1"/>
  <c r="AQ31" i="69" s="1"/>
  <c r="AR51" i="4"/>
  <c r="AQ51" i="4" a="1"/>
  <c r="AQ51" i="4" s="1"/>
  <c r="H51" i="69" s="1"/>
  <c r="AS51" i="4" a="1"/>
  <c r="AS51" i="4" s="1"/>
  <c r="C51" i="69" s="1"/>
  <c r="D51" i="69" s="1" a="1"/>
  <c r="D51" i="69" s="1"/>
  <c r="V51" i="4"/>
  <c r="BN51" i="4"/>
  <c r="CU51" i="4"/>
  <c r="CV51" i="4" s="1"/>
  <c r="BX54" i="4"/>
  <c r="AR54" i="4"/>
  <c r="V54" i="4"/>
  <c r="AS54" i="4" a="1"/>
  <c r="AS54" i="4" s="1"/>
  <c r="C54" i="69" s="1"/>
  <c r="D54" i="69" s="1" a="1"/>
  <c r="D54" i="69" s="1"/>
  <c r="AQ54" i="4" a="1"/>
  <c r="AQ54" i="4" s="1"/>
  <c r="H54" i="69" s="1"/>
  <c r="BN54" i="4"/>
  <c r="BX52" i="4"/>
  <c r="V52" i="4"/>
  <c r="AS52" i="4" a="1"/>
  <c r="AS52" i="4" s="1"/>
  <c r="C52" i="69" s="1"/>
  <c r="D52" i="69" s="1" a="1"/>
  <c r="D52" i="69" s="1"/>
  <c r="AQ52" i="4" a="1"/>
  <c r="AQ52" i="4" s="1"/>
  <c r="H52" i="69" s="1"/>
  <c r="AR52" i="4"/>
  <c r="BN52" i="4"/>
  <c r="CU52" i="4"/>
  <c r="CV52" i="4" s="1"/>
  <c r="AS10" i="4" a="1"/>
  <c r="AS10" i="4" s="1"/>
  <c r="C10" i="69" s="1"/>
  <c r="D10" i="69" s="1" a="1"/>
  <c r="D10" i="69" s="1"/>
  <c r="V10" i="4"/>
  <c r="AQ10" i="4" a="1"/>
  <c r="AQ10" i="4" s="1"/>
  <c r="H10" i="69" s="1"/>
  <c r="AR10" i="4"/>
  <c r="BN10" i="4"/>
  <c r="BX84" i="4"/>
  <c r="V84" i="4"/>
  <c r="AR84" i="4"/>
  <c r="AS84" i="4" a="1"/>
  <c r="AS84" i="4" s="1"/>
  <c r="C84" i="69" s="1"/>
  <c r="D84" i="69" s="1" a="1"/>
  <c r="D84" i="69" s="1"/>
  <c r="AQ84" i="4" a="1"/>
  <c r="AQ84" i="4" s="1"/>
  <c r="H84" i="69" s="1"/>
  <c r="BN84" i="4"/>
  <c r="C54" i="23"/>
  <c r="B56" i="23"/>
  <c r="C56" i="23"/>
  <c r="D56" i="23"/>
  <c r="BH60" i="69"/>
  <c r="BJ60" i="69" s="1"/>
  <c r="E60" i="69"/>
  <c r="BI60" i="69" a="1"/>
  <c r="BI60" i="69" s="1"/>
  <c r="R60" i="69"/>
  <c r="AY60" i="69"/>
  <c r="AV60" i="69"/>
  <c r="BE60" i="69" a="1"/>
  <c r="BE60" i="69" s="1"/>
  <c r="BM88" i="69"/>
  <c r="BL83" i="69"/>
  <c r="AV83" i="69"/>
  <c r="E83" i="69"/>
  <c r="AY83" i="69"/>
  <c r="BI83" i="69" a="1"/>
  <c r="BI83" i="69" s="1"/>
  <c r="R83" i="69"/>
  <c r="BE83" i="69" a="1"/>
  <c r="BE83" i="69" s="1"/>
  <c r="BH83" i="69"/>
  <c r="BJ83" i="69" s="1"/>
  <c r="BM55" i="69"/>
  <c r="BM91" i="69"/>
  <c r="AV93" i="69"/>
  <c r="BE93" i="69" a="1"/>
  <c r="BE93" i="69" s="1"/>
  <c r="BI93" i="69" a="1"/>
  <c r="BI93" i="69" s="1"/>
  <c r="E93" i="69"/>
  <c r="AY93" i="69"/>
  <c r="BL93" i="69"/>
  <c r="BH93" i="69"/>
  <c r="BJ93" i="69" s="1"/>
  <c r="R93" i="69"/>
  <c r="B81" i="69"/>
  <c r="AQ71" i="69" a="1"/>
  <c r="AQ71" i="69" s="1"/>
  <c r="E76" i="69"/>
  <c r="BE76" i="69" a="1"/>
  <c r="BE76" i="69" s="1"/>
  <c r="BH76" i="69"/>
  <c r="AV76" i="69"/>
  <c r="BI76" i="69" a="1"/>
  <c r="BI76" i="69" s="1"/>
  <c r="BL76" i="69"/>
  <c r="AY76" i="69"/>
  <c r="R76" i="69"/>
  <c r="BH79" i="69"/>
  <c r="BJ79" i="69" s="1"/>
  <c r="BI79" i="69" a="1"/>
  <c r="BI79" i="69" s="1"/>
  <c r="AY79" i="69"/>
  <c r="E79" i="69"/>
  <c r="BL79" i="69"/>
  <c r="AV79" i="69"/>
  <c r="R79" i="69"/>
  <c r="BE79" i="69" a="1"/>
  <c r="BE79" i="69" s="1"/>
  <c r="AZ84" i="69"/>
  <c r="A427" i="13"/>
  <c r="AX328" i="13"/>
  <c r="K83" i="69" a="1"/>
  <c r="K83" i="69" s="1"/>
  <c r="L83" i="69"/>
  <c r="AV575" i="13"/>
  <c r="BE78" i="4"/>
  <c r="BI78" i="4"/>
  <c r="BE40" i="4"/>
  <c r="BI40" i="4"/>
  <c r="AV537" i="13"/>
  <c r="AQ76" i="69" a="1"/>
  <c r="AQ76" i="69" s="1"/>
  <c r="AX25" i="69"/>
  <c r="AQ65" i="69" a="1"/>
  <c r="AQ65" i="69" s="1"/>
  <c r="AR87" i="4"/>
  <c r="AQ87" i="4" a="1"/>
  <c r="AQ87" i="4" s="1"/>
  <c r="H87" i="69" s="1"/>
  <c r="V87" i="4"/>
  <c r="AS87" i="4" a="1"/>
  <c r="AS87" i="4" s="1"/>
  <c r="C87" i="69" s="1"/>
  <c r="D87" i="69" s="1" a="1"/>
  <c r="D87" i="69" s="1"/>
  <c r="BN87" i="4"/>
  <c r="A798" i="13"/>
  <c r="AX699" i="13"/>
  <c r="K16" i="69" a="1"/>
  <c r="K16" i="69" s="1"/>
  <c r="L16" i="69"/>
  <c r="K68" i="69" a="1"/>
  <c r="K68" i="69" s="1"/>
  <c r="L68" i="69"/>
  <c r="AQ82" i="69" a="1"/>
  <c r="AQ82" i="69" s="1"/>
  <c r="BK84" i="69"/>
  <c r="F71" i="15" a="1"/>
  <c r="F71" i="15" s="1"/>
  <c r="AQ36" i="69" a="1"/>
  <c r="AQ36" i="69" s="1"/>
  <c r="AW69" i="69"/>
  <c r="M483" i="15" a="1"/>
  <c r="M483" i="15" s="1"/>
  <c r="U44" i="4"/>
  <c r="AV541" i="13"/>
  <c r="BI44" i="4"/>
  <c r="BE44" i="4"/>
  <c r="K61" i="69" a="1"/>
  <c r="K61" i="69" s="1"/>
  <c r="L61" i="69"/>
  <c r="AX90" i="69"/>
  <c r="AQ30" i="4" a="1"/>
  <c r="AQ30" i="4" s="1"/>
  <c r="H30" i="69" s="1"/>
  <c r="AS30" i="4" a="1"/>
  <c r="AS30" i="4" s="1"/>
  <c r="C30" i="69" s="1"/>
  <c r="D30" i="69" s="1" a="1"/>
  <c r="D30" i="69" s="1"/>
  <c r="AR30" i="4"/>
  <c r="V30" i="4"/>
  <c r="BN30" i="4"/>
  <c r="CU30" i="4"/>
  <c r="CV30" i="4" s="1"/>
  <c r="K72" i="69" a="1"/>
  <c r="K72" i="69" s="1"/>
  <c r="L72" i="69"/>
  <c r="AV573" i="13"/>
  <c r="BE76" i="4"/>
  <c r="BI76" i="4"/>
  <c r="K89" i="69" a="1"/>
  <c r="K89" i="69" s="1"/>
  <c r="L89" i="69"/>
  <c r="BG28" i="69"/>
  <c r="AX29" i="69"/>
  <c r="K39" i="69" a="1"/>
  <c r="K39" i="69" s="1"/>
  <c r="L39" i="69"/>
  <c r="AH8" i="69" a="1"/>
  <c r="AH8" i="69" s="1"/>
  <c r="AE53" i="69" a="1"/>
  <c r="AE53" i="69" s="1"/>
  <c r="AZ86" i="69"/>
  <c r="G55" i="4"/>
  <c r="BL55" i="4"/>
  <c r="BL96" i="4" s="1"/>
  <c r="BK96" i="4"/>
  <c r="O13" i="69"/>
  <c r="BC13" i="69"/>
  <c r="AV1229" i="13"/>
  <c r="B39" i="69"/>
  <c r="G11" i="69"/>
  <c r="O58" i="69"/>
  <c r="BC58" i="69"/>
  <c r="A401" i="13"/>
  <c r="AX302" i="13"/>
  <c r="U19" i="69" a="1"/>
  <c r="U19" i="69" s="1"/>
  <c r="U10" i="69" a="1"/>
  <c r="U10" i="69" s="1"/>
  <c r="U8" i="69" a="1"/>
  <c r="U8" i="69" s="1"/>
  <c r="U6" i="69" a="1"/>
  <c r="U6" i="69" s="1"/>
  <c r="U20" i="69" a="1"/>
  <c r="U20" i="69" s="1"/>
  <c r="U11" i="69" a="1"/>
  <c r="U11" i="69" s="1"/>
  <c r="U12" i="69" a="1"/>
  <c r="U12" i="69" s="1"/>
  <c r="U15" i="69" a="1"/>
  <c r="U15" i="69" s="1"/>
  <c r="U18" i="69" a="1"/>
  <c r="U18" i="69" s="1"/>
  <c r="U7" i="69" a="1"/>
  <c r="U7" i="69" s="1"/>
  <c r="U16" i="69" a="1"/>
  <c r="U16" i="69" s="1"/>
  <c r="U17" i="69" a="1"/>
  <c r="U17" i="69" s="1"/>
  <c r="U9" i="69" a="1"/>
  <c r="U9" i="69" s="1"/>
  <c r="U5" i="69" a="1"/>
  <c r="U5" i="69" s="1"/>
  <c r="U4" i="69" a="1"/>
  <c r="U4" i="69" s="1"/>
  <c r="U13" i="69" a="1"/>
  <c r="U13" i="69" s="1"/>
  <c r="U14" i="69" a="1"/>
  <c r="U14" i="69" s="1"/>
  <c r="U3" i="69" a="1"/>
  <c r="U3" i="69" s="1"/>
  <c r="O84" i="69"/>
  <c r="BC84" i="69"/>
  <c r="AV1246" i="13"/>
  <c r="B56" i="69"/>
  <c r="AV1253" i="13"/>
  <c r="B63" i="69"/>
  <c r="B16" i="69"/>
  <c r="B8" i="69"/>
  <c r="AV1217" i="13"/>
  <c r="B27" i="69"/>
  <c r="O37" i="69"/>
  <c r="BC37" i="69"/>
  <c r="B5" i="69"/>
  <c r="I414" i="15" a="1"/>
  <c r="I414" i="15" s="1"/>
  <c r="H414" i="15" a="1"/>
  <c r="H414" i="15" s="1"/>
  <c r="AV1257" i="13"/>
  <c r="B67" i="69"/>
  <c r="AV1224" i="13"/>
  <c r="B34" i="69"/>
  <c r="AV1249" i="13"/>
  <c r="B59" i="69"/>
  <c r="AV1216" i="13"/>
  <c r="B26" i="69"/>
  <c r="AV1283" i="13"/>
  <c r="B93" i="69"/>
  <c r="BG33" i="69"/>
  <c r="BG26" i="69"/>
  <c r="AV1256" i="13"/>
  <c r="B66" i="69"/>
  <c r="BG52" i="69"/>
  <c r="BC26" i="69"/>
  <c r="O26" i="69"/>
  <c r="AV1235" i="13"/>
  <c r="B45" i="69"/>
  <c r="AE31" i="69" a="1"/>
  <c r="AE31" i="69" s="1"/>
  <c r="A408" i="13"/>
  <c r="AX309" i="13"/>
  <c r="BE71" i="4"/>
  <c r="AV568" i="13"/>
  <c r="BI71" i="4"/>
  <c r="K45" i="69" a="1"/>
  <c r="K45" i="69" s="1"/>
  <c r="L45" i="69"/>
  <c r="BX81" i="4"/>
  <c r="AR81" i="4"/>
  <c r="AS81" i="4" a="1"/>
  <c r="AS81" i="4" s="1"/>
  <c r="C81" i="69" s="1"/>
  <c r="D81" i="69" s="1" a="1"/>
  <c r="D81" i="69" s="1"/>
  <c r="AQ81" i="4" a="1"/>
  <c r="AQ81" i="4" s="1"/>
  <c r="H81" i="69" s="1"/>
  <c r="V81" i="4"/>
  <c r="BN81" i="4"/>
  <c r="K86" i="69" a="1"/>
  <c r="K86" i="69" s="1"/>
  <c r="L86" i="69"/>
  <c r="K51" i="69" a="1"/>
  <c r="K51" i="69" s="1"/>
  <c r="L51" i="69"/>
  <c r="AE22" i="69" a="1"/>
  <c r="AE22" i="69" s="1"/>
  <c r="U54" i="4"/>
  <c r="AV551" i="13"/>
  <c r="BI54" i="4"/>
  <c r="BE54" i="4"/>
  <c r="K37" i="69" a="1"/>
  <c r="K37" i="69" s="1"/>
  <c r="L37" i="69"/>
  <c r="I266" i="15" a="1"/>
  <c r="I266" i="15" s="1"/>
  <c r="H266" i="15" a="1"/>
  <c r="H266" i="15" s="1"/>
  <c r="AQ68" i="69" a="1"/>
  <c r="AQ68" i="69" s="1"/>
  <c r="B85" i="69"/>
  <c r="AX58" i="69"/>
  <c r="AW58" i="69"/>
  <c r="D58" i="23"/>
  <c r="E58" i="23" s="1"/>
  <c r="F36" i="23"/>
  <c r="B36" i="23" s="1"/>
  <c r="C58" i="23"/>
  <c r="B58" i="23"/>
  <c r="X101" i="69"/>
  <c r="X98" i="69"/>
  <c r="X99" i="69"/>
  <c r="X100" i="69"/>
  <c r="H400" i="15" a="1"/>
  <c r="H400" i="15" s="1"/>
  <c r="I400" i="15" a="1"/>
  <c r="I400" i="15" s="1"/>
  <c r="D57" i="14"/>
  <c r="B57" i="14"/>
  <c r="C57" i="14"/>
  <c r="E66" i="69"/>
  <c r="BH66" i="69"/>
  <c r="BJ66" i="69" s="1"/>
  <c r="AY66" i="69"/>
  <c r="AV66" i="69"/>
  <c r="BL66" i="69"/>
  <c r="BI66" i="69" a="1"/>
  <c r="BI66" i="69" s="1"/>
  <c r="BE66" i="69" a="1"/>
  <c r="BE66" i="69" s="1"/>
  <c r="R66" i="69"/>
  <c r="I401" i="15" a="1"/>
  <c r="I401" i="15" s="1"/>
  <c r="H401" i="15" a="1"/>
  <c r="H401" i="15" s="1"/>
  <c r="AZ76" i="69"/>
  <c r="AV89" i="69"/>
  <c r="BE89" i="69" a="1"/>
  <c r="BE89" i="69" s="1"/>
  <c r="AY89" i="69"/>
  <c r="BH89" i="69"/>
  <c r="E89" i="69"/>
  <c r="BI89" i="69" a="1"/>
  <c r="BI89" i="69" s="1"/>
  <c r="BL89" i="69"/>
  <c r="R89" i="69"/>
  <c r="AQ72" i="69" a="1"/>
  <c r="AQ72" i="69" s="1"/>
  <c r="AY74" i="69"/>
  <c r="AV74" i="69"/>
  <c r="BH74" i="69"/>
  <c r="BE74" i="69" a="1"/>
  <c r="BE74" i="69" s="1"/>
  <c r="R74" i="69"/>
  <c r="BI74" i="69" a="1"/>
  <c r="BI74" i="69" s="1"/>
  <c r="BL74" i="69"/>
  <c r="E74" i="69"/>
  <c r="E55" i="4"/>
  <c r="BA55" i="4" s="1"/>
  <c r="BA96" i="4" s="1"/>
  <c r="AU98" i="4"/>
  <c r="AX308" i="13"/>
  <c r="A407" i="13"/>
  <c r="BX78" i="4"/>
  <c r="V78" i="4"/>
  <c r="AR78" i="4"/>
  <c r="AS78" i="4" a="1"/>
  <c r="AS78" i="4" s="1"/>
  <c r="C78" i="69" s="1"/>
  <c r="D78" i="69" s="1" a="1"/>
  <c r="D78" i="69" s="1"/>
  <c r="AQ78" i="4" a="1"/>
  <c r="AQ78" i="4" s="1"/>
  <c r="H78" i="69" s="1"/>
  <c r="BN78" i="4"/>
  <c r="CU78" i="4"/>
  <c r="CV78" i="4" s="1"/>
  <c r="BE36" i="4"/>
  <c r="AV533" i="13"/>
  <c r="BI36" i="4"/>
  <c r="U20" i="4"/>
  <c r="BE20" i="4"/>
  <c r="BI20" i="4"/>
  <c r="AV517" i="13"/>
  <c r="BX93" i="4"/>
  <c r="AR93" i="4"/>
  <c r="AS93" i="4" a="1"/>
  <c r="AS93" i="4" s="1"/>
  <c r="C93" i="69" s="1"/>
  <c r="D93" i="69" s="1" a="1"/>
  <c r="D93" i="69" s="1"/>
  <c r="V93" i="4"/>
  <c r="AQ93" i="4" a="1"/>
  <c r="AQ93" i="4" s="1"/>
  <c r="H93" i="69" s="1"/>
  <c r="BN93" i="4"/>
  <c r="CU93" i="4"/>
  <c r="CV93" i="4" s="1"/>
  <c r="AX156" i="13"/>
  <c r="A255" i="13"/>
  <c r="K27" i="69" a="1"/>
  <c r="K27" i="69" s="1"/>
  <c r="L27" i="69"/>
  <c r="AS40" i="4" a="1"/>
  <c r="AS40" i="4" s="1"/>
  <c r="C40" i="69" s="1"/>
  <c r="D40" i="69" s="1" a="1"/>
  <c r="D40" i="69" s="1"/>
  <c r="V40" i="4"/>
  <c r="AR40" i="4"/>
  <c r="AQ40" i="4" a="1"/>
  <c r="AQ40" i="4" s="1"/>
  <c r="H40" i="69" s="1"/>
  <c r="BN40" i="4"/>
  <c r="CU40" i="4"/>
  <c r="CV40" i="4" s="1"/>
  <c r="AH12" i="69" a="1"/>
  <c r="AH12" i="69" s="1"/>
  <c r="BI75" i="4"/>
  <c r="BE75" i="4"/>
  <c r="AV572" i="13"/>
  <c r="A435" i="13"/>
  <c r="AX336" i="13"/>
  <c r="AE16" i="69" a="1"/>
  <c r="AE16" i="69" s="1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BM60" i="69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A465" i="13"/>
  <c r="AX366" i="13"/>
  <c r="AL35" i="69" a="1"/>
  <c r="AL35" i="69" s="1"/>
  <c r="AO35" i="69" a="1"/>
  <c r="AO35" i="69" s="1"/>
  <c r="AI35" i="69" a="1"/>
  <c r="AI35" i="69" s="1"/>
  <c r="AR35" i="69" a="1"/>
  <c r="AR35" i="69" s="1"/>
  <c r="AM35" i="69" a="1"/>
  <c r="AM35" i="69" s="1"/>
  <c r="AS35" i="69" a="1"/>
  <c r="AS35" i="69" s="1"/>
  <c r="AN35" i="69" a="1"/>
  <c r="AN35" i="69" s="1"/>
  <c r="AG35" i="69" a="1"/>
  <c r="AG35" i="69" s="1"/>
  <c r="AP35" i="69" a="1"/>
  <c r="AP35" i="69" s="1"/>
  <c r="AV539" i="13"/>
  <c r="BE42" i="4"/>
  <c r="BI42" i="4"/>
  <c r="V63" i="4"/>
  <c r="AR63" i="4"/>
  <c r="AS63" i="4" a="1"/>
  <c r="AS63" i="4" s="1"/>
  <c r="C63" i="69" s="1"/>
  <c r="D63" i="69" s="1" a="1"/>
  <c r="D63" i="69" s="1"/>
  <c r="AQ63" i="4" a="1"/>
  <c r="AQ63" i="4" s="1"/>
  <c r="H63" i="69" s="1"/>
  <c r="CU63" i="4"/>
  <c r="CV63" i="4" s="1"/>
  <c r="BN63" i="4"/>
  <c r="D95" i="69" a="1"/>
  <c r="D95" i="69" s="1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E73" i="69" a="1"/>
  <c r="AE73" i="69" s="1"/>
  <c r="I242" i="15" a="1"/>
  <c r="I242" i="15" s="1"/>
  <c r="H242" i="15" a="1"/>
  <c r="H242" i="15" s="1"/>
  <c r="AX28" i="69"/>
  <c r="AX349" i="13"/>
  <c r="A448" i="13"/>
  <c r="U12" i="4"/>
  <c r="BI12" i="4"/>
  <c r="AV509" i="13"/>
  <c r="BE12" i="4"/>
  <c r="A464" i="13"/>
  <c r="AX365" i="13"/>
  <c r="BO11" i="4"/>
  <c r="AV508" i="13"/>
  <c r="BI11" i="4"/>
  <c r="BE11" i="4"/>
  <c r="BM58" i="69"/>
  <c r="BK92" i="69"/>
  <c r="AX49" i="69"/>
  <c r="K46" i="69" a="1"/>
  <c r="K46" i="69" s="1"/>
  <c r="L46" i="69"/>
  <c r="AH11" i="69" a="1"/>
  <c r="AH11" i="69" s="1"/>
  <c r="AE43" i="69" a="1"/>
  <c r="AE43" i="69" s="1"/>
  <c r="AI43" i="69" s="1" a="1"/>
  <c r="AI43" i="69" s="1"/>
  <c r="W21" i="4"/>
  <c r="AV1211" i="13" s="1"/>
  <c r="P21" i="69"/>
  <c r="AQ21" i="69" s="1" a="1"/>
  <c r="AQ21" i="69" s="1"/>
  <c r="CS55" i="4"/>
  <c r="CT55" i="4" s="1"/>
  <c r="CT96" i="4" s="1"/>
  <c r="AV1228" i="13"/>
  <c r="B38" i="69"/>
  <c r="AV1274" i="13"/>
  <c r="B84" i="69"/>
  <c r="AV1240" i="13"/>
  <c r="B50" i="69"/>
  <c r="W93" i="22"/>
  <c r="Y93" i="22" s="1"/>
  <c r="AV62" i="13"/>
  <c r="AV60" i="4"/>
  <c r="Z1349" i="13"/>
  <c r="AT60" i="4"/>
  <c r="F60" i="4"/>
  <c r="BO60" i="4" s="1"/>
  <c r="J60" i="4"/>
  <c r="BX60" i="4" s="1"/>
  <c r="AM60" i="4"/>
  <c r="AV359" i="13" s="1"/>
  <c r="AV458" i="13" s="1"/>
  <c r="AZ60" i="69"/>
  <c r="CW60" i="4" a="1"/>
  <c r="CW60" i="4" s="1"/>
  <c r="H231" i="15" a="1"/>
  <c r="H231" i="15" s="1"/>
  <c r="I231" i="15" a="1"/>
  <c r="I231" i="15" s="1"/>
  <c r="O8" i="69"/>
  <c r="BC8" i="69"/>
  <c r="AQ94" i="4" a="1"/>
  <c r="AQ94" i="4" s="1"/>
  <c r="H94" i="69" s="1"/>
  <c r="AR94" i="4"/>
  <c r="V94" i="4"/>
  <c r="AS94" i="4" a="1"/>
  <c r="AS94" i="4" s="1"/>
  <c r="C94" i="69" s="1"/>
  <c r="D94" i="69" s="1" a="1"/>
  <c r="D94" i="69" s="1"/>
  <c r="CU94" i="4"/>
  <c r="CV94" i="4" s="1"/>
  <c r="BN94" i="4"/>
  <c r="BX94" i="4"/>
  <c r="AV1267" i="13"/>
  <c r="B77" i="69"/>
  <c r="AX26" i="69"/>
  <c r="AV1252" i="13"/>
  <c r="B62" i="69"/>
  <c r="AV1226" i="13"/>
  <c r="B36" i="69"/>
  <c r="AX52" i="69"/>
  <c r="AV1259" i="13"/>
  <c r="B69" i="69"/>
  <c r="BG41" i="69"/>
  <c r="V66" i="4"/>
  <c r="AR66" i="4"/>
  <c r="AQ66" i="4" a="1"/>
  <c r="AQ66" i="4" s="1"/>
  <c r="H66" i="69" s="1"/>
  <c r="AS66" i="4" a="1"/>
  <c r="AS66" i="4" s="1"/>
  <c r="C66" i="69" s="1"/>
  <c r="D66" i="69" s="1" a="1"/>
  <c r="D66" i="69" s="1"/>
  <c r="CU66" i="4"/>
  <c r="CV66" i="4" s="1"/>
  <c r="BN66" i="4"/>
  <c r="A418" i="13"/>
  <c r="AX319" i="13"/>
  <c r="AX338" i="13"/>
  <c r="A437" i="13"/>
  <c r="AR51" i="69" a="1"/>
  <c r="AR51" i="69" s="1"/>
  <c r="AM51" i="69" a="1"/>
  <c r="AM51" i="69" s="1"/>
  <c r="AS51" i="69" a="1"/>
  <c r="AS51" i="69" s="1"/>
  <c r="AO51" i="69" a="1"/>
  <c r="AO51" i="69" s="1"/>
  <c r="AP51" i="69" a="1"/>
  <c r="AP51" i="69" s="1"/>
  <c r="A432" i="13"/>
  <c r="AX333" i="13"/>
  <c r="A414" i="13"/>
  <c r="AX315" i="13"/>
  <c r="K9" i="69" a="1"/>
  <c r="K9" i="69" s="1"/>
  <c r="L9" i="69"/>
  <c r="U34" i="4"/>
  <c r="BE34" i="4"/>
  <c r="AV531" i="13"/>
  <c r="BI34" i="4"/>
  <c r="K5" i="69" a="1"/>
  <c r="K5" i="69" s="1"/>
  <c r="L5" i="69"/>
  <c r="BI84" i="4"/>
  <c r="BE84" i="4"/>
  <c r="AV581" i="13"/>
  <c r="U79" i="4"/>
  <c r="BI79" i="4"/>
  <c r="BE79" i="4"/>
  <c r="AV576" i="13"/>
  <c r="BM94" i="69"/>
  <c r="AE94" i="69" a="1"/>
  <c r="AE94" i="69" s="1"/>
  <c r="AL94" i="69" s="1" a="1"/>
  <c r="AL94" i="69" s="1"/>
  <c r="BL87" i="69"/>
  <c r="R87" i="69"/>
  <c r="BH87" i="69"/>
  <c r="BJ87" i="69" s="1"/>
  <c r="BE87" i="69" a="1"/>
  <c r="BE87" i="69" s="1"/>
  <c r="AY87" i="69"/>
  <c r="BI87" i="69" a="1"/>
  <c r="BI87" i="69" s="1"/>
  <c r="AV87" i="69"/>
  <c r="E87" i="69"/>
  <c r="BE90" i="69" a="1"/>
  <c r="BE90" i="69" s="1"/>
  <c r="BH90" i="69"/>
  <c r="BJ90" i="69" s="1"/>
  <c r="E90" i="69"/>
  <c r="BL90" i="69"/>
  <c r="BI90" i="69" a="1"/>
  <c r="BI90" i="69" s="1"/>
  <c r="AV90" i="69"/>
  <c r="AY90" i="69"/>
  <c r="R90" i="69"/>
  <c r="AE81" i="69" a="1"/>
  <c r="AE81" i="69" s="1"/>
  <c r="AL81" i="69" s="1" a="1"/>
  <c r="AL81" i="69" s="1"/>
  <c r="BM80" i="69"/>
  <c r="AX83" i="69"/>
  <c r="AW83" i="69"/>
  <c r="L480" i="15" a="1"/>
  <c r="L480" i="15" s="1"/>
  <c r="M480" i="15" a="1"/>
  <c r="M480" i="15" s="1"/>
  <c r="N480" i="15" a="1"/>
  <c r="N480" i="15" s="1"/>
  <c r="K480" i="15" a="1"/>
  <c r="K480" i="15" s="1"/>
  <c r="BE83" i="4"/>
  <c r="BI83" i="4"/>
  <c r="AV580" i="13"/>
  <c r="BX22" i="4"/>
  <c r="AR22" i="4"/>
  <c r="V22" i="4"/>
  <c r="AS22" i="4" a="1"/>
  <c r="AS22" i="4" s="1"/>
  <c r="C22" i="69" s="1"/>
  <c r="D22" i="69" s="1" a="1"/>
  <c r="D22" i="69" s="1"/>
  <c r="AQ22" i="4" a="1"/>
  <c r="AQ22" i="4" s="1"/>
  <c r="H22" i="69" s="1"/>
  <c r="CU22" i="4"/>
  <c r="CV22" i="4" s="1"/>
  <c r="BN22" i="4"/>
  <c r="K36" i="69" a="1"/>
  <c r="K36" i="69" s="1"/>
  <c r="L36" i="69"/>
  <c r="K20" i="69" a="1"/>
  <c r="K20" i="69" s="1"/>
  <c r="L20" i="69"/>
  <c r="AX80" i="69"/>
  <c r="AX72" i="69"/>
  <c r="BE23" i="4"/>
  <c r="BI23" i="4"/>
  <c r="AV520" i="13"/>
  <c r="AV529" i="13"/>
  <c r="BI32" i="4"/>
  <c r="BE32" i="4"/>
  <c r="AS43" i="4" a="1"/>
  <c r="AS43" i="4" s="1"/>
  <c r="C43" i="69" s="1"/>
  <c r="D43" i="69" s="1" a="1"/>
  <c r="D43" i="69" s="1"/>
  <c r="AQ43" i="4" a="1"/>
  <c r="AQ43" i="4" s="1"/>
  <c r="H43" i="69" s="1"/>
  <c r="V43" i="4"/>
  <c r="AR43" i="4"/>
  <c r="BN43" i="4"/>
  <c r="K25" i="69" a="1"/>
  <c r="K25" i="69" s="1"/>
  <c r="L25" i="69"/>
  <c r="BI49" i="4"/>
  <c r="BE49" i="4"/>
  <c r="AV546" i="13"/>
  <c r="BI70" i="4"/>
  <c r="AV567" i="13"/>
  <c r="BE70" i="4"/>
  <c r="E68" i="69"/>
  <c r="AY68" i="69"/>
  <c r="R68" i="69"/>
  <c r="BI68" i="69" a="1"/>
  <c r="BI68" i="69" s="1"/>
  <c r="AV68" i="69"/>
  <c r="BH68" i="69"/>
  <c r="BJ68" i="69" s="1"/>
  <c r="BE68" i="69" a="1"/>
  <c r="BE68" i="69" s="1"/>
  <c r="BL68" i="69"/>
  <c r="AQ86" i="69" a="1"/>
  <c r="AQ86" i="69" s="1"/>
  <c r="AZ71" i="69"/>
  <c r="K87" i="69" a="1"/>
  <c r="K87" i="69" s="1"/>
  <c r="L87" i="69"/>
  <c r="BI59" i="4"/>
  <c r="BE59" i="4"/>
  <c r="AV556" i="13"/>
  <c r="AS28" i="4" a="1"/>
  <c r="AS28" i="4" s="1"/>
  <c r="C28" i="69" s="1"/>
  <c r="D28" i="69" s="1" a="1"/>
  <c r="D28" i="69" s="1"/>
  <c r="V28" i="4"/>
  <c r="AR28" i="4"/>
  <c r="AQ28" i="4" a="1"/>
  <c r="AQ28" i="4" s="1"/>
  <c r="H28" i="69" s="1"/>
  <c r="CU28" i="4"/>
  <c r="CV28" i="4" s="1"/>
  <c r="BN28" i="4"/>
  <c r="BK88" i="69"/>
  <c r="K44" i="69" a="1"/>
  <c r="K44" i="69" s="1"/>
  <c r="L44" i="69"/>
  <c r="U63" i="4"/>
  <c r="AV560" i="13"/>
  <c r="BI63" i="4"/>
  <c r="BE63" i="4"/>
  <c r="AO94" i="4"/>
  <c r="AN94" i="4"/>
  <c r="H284" i="15" a="1"/>
  <c r="H284" i="15" s="1"/>
  <c r="I284" i="15" a="1"/>
  <c r="I284" i="15" s="1"/>
  <c r="AX94" i="69"/>
  <c r="AW94" i="69"/>
  <c r="BK94" i="69"/>
  <c r="AW90" i="69"/>
  <c r="K33" i="69" a="1"/>
  <c r="K33" i="69" s="1"/>
  <c r="L33" i="69"/>
  <c r="BI30" i="4"/>
  <c r="BE30" i="4"/>
  <c r="AV527" i="13"/>
  <c r="BE72" i="4"/>
  <c r="AV569" i="13"/>
  <c r="BI72" i="4"/>
  <c r="U72" i="4"/>
  <c r="BO72" i="4"/>
  <c r="AQ8" i="69" a="1"/>
  <c r="AQ8" i="69" s="1"/>
  <c r="K12" i="69" a="1"/>
  <c r="K12" i="69" s="1"/>
  <c r="L12" i="69"/>
  <c r="BG49" i="69"/>
  <c r="AE61" i="69" a="1"/>
  <c r="AE61" i="69" s="1"/>
  <c r="AH61" i="69" s="1" a="1"/>
  <c r="AH61" i="69" s="1"/>
  <c r="AX337" i="13"/>
  <c r="A436" i="13"/>
  <c r="AQ41" i="69" a="1"/>
  <c r="AQ41" i="69" s="1"/>
  <c r="BF14" i="69" a="1"/>
  <c r="BF14" i="69" s="1"/>
  <c r="BL67" i="69"/>
  <c r="AW18" i="69"/>
  <c r="AX18" i="69"/>
  <c r="BG18" i="69"/>
  <c r="I102" i="15" a="1"/>
  <c r="I102" i="15" s="1"/>
  <c r="H102" i="15" a="1"/>
  <c r="H102" i="15" s="1"/>
  <c r="AV1218" i="13"/>
  <c r="B28" i="69"/>
  <c r="BG20" i="69"/>
  <c r="AW20" i="69"/>
  <c r="AX20" i="69"/>
  <c r="BC14" i="69"/>
  <c r="O14" i="69"/>
  <c r="AV1262" i="13"/>
  <c r="B72" i="69"/>
  <c r="BC40" i="69"/>
  <c r="O40" i="69"/>
  <c r="AV1238" i="13"/>
  <c r="B48" i="69"/>
  <c r="BC5" i="69"/>
  <c r="O5" i="69"/>
  <c r="AR23" i="69" a="1"/>
  <c r="AR23" i="69" s="1"/>
  <c r="AI23" i="69" a="1"/>
  <c r="AI23" i="69" s="1"/>
  <c r="AM23" i="69" a="1"/>
  <c r="AM23" i="69" s="1"/>
  <c r="AO23" i="69" a="1"/>
  <c r="AO23" i="69" s="1"/>
  <c r="AG23" i="69" a="1"/>
  <c r="AG23" i="69" s="1"/>
  <c r="AN23" i="69" a="1"/>
  <c r="AN23" i="69" s="1"/>
  <c r="AS23" i="69" a="1"/>
  <c r="AS23" i="69" s="1"/>
  <c r="AP23" i="69" a="1"/>
  <c r="AP23" i="69" s="1"/>
  <c r="AV1213" i="13"/>
  <c r="B23" i="69"/>
  <c r="AG45" i="69" a="1"/>
  <c r="AG45" i="69" s="1"/>
  <c r="BC46" i="69"/>
  <c r="O46" i="69"/>
  <c r="BK14" i="69"/>
  <c r="AX14" i="69"/>
  <c r="AW14" i="69"/>
  <c r="BG14" i="69"/>
  <c r="AV1276" i="13"/>
  <c r="B86" i="69"/>
  <c r="AR18" i="69" a="1"/>
  <c r="AR18" i="69" s="1"/>
  <c r="AG18" i="69" a="1"/>
  <c r="AG18" i="69" s="1"/>
  <c r="AO18" i="69" a="1"/>
  <c r="AO18" i="69" s="1"/>
  <c r="AS18" i="69" a="1"/>
  <c r="AS18" i="69" s="1"/>
  <c r="AN18" i="69" a="1"/>
  <c r="AN18" i="69" s="1"/>
  <c r="AM18" i="69" a="1"/>
  <c r="AM18" i="69" s="1"/>
  <c r="AI18" i="69" a="1"/>
  <c r="AI18" i="69" s="1"/>
  <c r="AP18" i="69" a="1"/>
  <c r="AP18" i="69" s="1"/>
  <c r="AH18" i="69" a="1"/>
  <c r="AH18" i="69" s="1"/>
  <c r="O15" i="69"/>
  <c r="BC15" i="69"/>
  <c r="A16" i="27" a="1"/>
  <c r="A16" i="27" s="1"/>
  <c r="H15" i="27"/>
  <c r="I15" i="27" s="1"/>
  <c r="F16" i="27" a="1"/>
  <c r="F16" i="27" s="1"/>
  <c r="H19" i="27"/>
  <c r="G19" i="27"/>
  <c r="F15" i="27" a="1"/>
  <c r="F15" i="27" s="1"/>
  <c r="I191" i="15" a="1"/>
  <c r="I191" i="15" s="1"/>
  <c r="H191" i="15" a="1"/>
  <c r="H191" i="15" s="1"/>
  <c r="AX41" i="69"/>
  <c r="BG43" i="69"/>
  <c r="A409" i="13"/>
  <c r="AX310" i="13"/>
  <c r="BE45" i="4"/>
  <c r="AV542" i="13"/>
  <c r="BI45" i="4"/>
  <c r="AR91" i="4"/>
  <c r="AS91" i="4" a="1"/>
  <c r="AS91" i="4" s="1"/>
  <c r="C91" i="69" s="1"/>
  <c r="D91" i="69" s="1" a="1"/>
  <c r="D91" i="69" s="1"/>
  <c r="V91" i="4"/>
  <c r="AQ91" i="4" a="1"/>
  <c r="AQ91" i="4" s="1"/>
  <c r="H91" i="69" s="1"/>
  <c r="CU91" i="4"/>
  <c r="CV91" i="4" s="1"/>
  <c r="BN91" i="4"/>
  <c r="AX323" i="13"/>
  <c r="A422" i="13"/>
  <c r="AQ48" i="69" a="1"/>
  <c r="AQ48" i="69" s="1"/>
  <c r="AX331" i="13"/>
  <c r="A430" i="13"/>
  <c r="BX35" i="4"/>
  <c r="AQ35" i="4" a="1"/>
  <c r="AQ35" i="4" s="1"/>
  <c r="H35" i="69" s="1"/>
  <c r="V35" i="4"/>
  <c r="AR35" i="4"/>
  <c r="AS35" i="4" a="1"/>
  <c r="AS35" i="4" s="1"/>
  <c r="C35" i="69" s="1"/>
  <c r="D35" i="69" s="1" a="1"/>
  <c r="D35" i="69" s="1"/>
  <c r="BN35" i="4"/>
  <c r="CU35" i="4"/>
  <c r="CV35" i="4" s="1"/>
  <c r="K81" i="69" a="1"/>
  <c r="K81" i="69" s="1"/>
  <c r="L81" i="69"/>
  <c r="AE19" i="69" a="1"/>
  <c r="AE19" i="69" s="1"/>
  <c r="B16" i="27" a="1"/>
  <c r="B16" i="27" s="1"/>
  <c r="AQ38" i="69" a="1"/>
  <c r="AQ38" i="69" s="1"/>
  <c r="K62" i="69" a="1"/>
  <c r="K62" i="69" s="1"/>
  <c r="L62" i="69"/>
  <c r="BE9" i="4"/>
  <c r="AV506" i="13"/>
  <c r="BI9" i="4"/>
  <c r="BX34" i="4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AQ10" i="69" a="1"/>
  <c r="AQ10" i="69" s="1"/>
  <c r="BI5" i="4"/>
  <c r="BE5" i="4"/>
  <c r="AV502" i="13"/>
  <c r="I59" i="15" a="1"/>
  <c r="I59" i="15" s="1"/>
  <c r="G59" i="15"/>
  <c r="H59" i="15" a="1"/>
  <c r="H59" i="15" s="1"/>
  <c r="BE95" i="69" a="1"/>
  <c r="BE95" i="69" s="1"/>
  <c r="AY95" i="69"/>
  <c r="AV95" i="69"/>
  <c r="BL95" i="69"/>
  <c r="E95" i="69"/>
  <c r="BH95" i="69"/>
  <c r="BJ95" i="69" s="1"/>
  <c r="R95" i="69"/>
  <c r="BI95" i="69" a="1"/>
  <c r="BI95" i="69" s="1"/>
  <c r="B75" i="69"/>
  <c r="I91" i="15" a="1"/>
  <c r="I91" i="15" s="1"/>
  <c r="H91" i="15" a="1"/>
  <c r="H91" i="15" s="1"/>
  <c r="AV72" i="69"/>
  <c r="BE72" i="69" a="1"/>
  <c r="BE72" i="69" s="1"/>
  <c r="AY72" i="69"/>
  <c r="BH72" i="69"/>
  <c r="BJ72" i="69" s="1"/>
  <c r="BI72" i="69" a="1"/>
  <c r="BI72" i="69" s="1"/>
  <c r="BL72" i="69"/>
  <c r="E72" i="69"/>
  <c r="R72" i="69"/>
  <c r="C35" i="23"/>
  <c r="AW61" i="69"/>
  <c r="AX61" i="69"/>
  <c r="H447" i="15" a="1"/>
  <c r="H447" i="15" s="1"/>
  <c r="I447" i="15" a="1"/>
  <c r="I447" i="15" s="1"/>
  <c r="AQ95" i="69" a="1"/>
  <c r="AQ95" i="69" s="1"/>
  <c r="AE95" i="69" a="1"/>
  <c r="AE95" i="69" s="1"/>
  <c r="AH95" i="69" s="1" a="1"/>
  <c r="AH95" i="69" s="1"/>
  <c r="AQ62" i="69" a="1"/>
  <c r="AQ62" i="69" s="1"/>
  <c r="BH61" i="69"/>
  <c r="BJ61" i="69" s="1"/>
  <c r="BI61" i="69" a="1"/>
  <c r="BI61" i="69" s="1"/>
  <c r="AY61" i="69"/>
  <c r="R61" i="69"/>
  <c r="E61" i="69"/>
  <c r="AV61" i="69"/>
  <c r="BL61" i="69"/>
  <c r="BE61" i="69" a="1"/>
  <c r="BE61" i="69" s="1"/>
  <c r="AY92" i="69"/>
  <c r="BH92" i="69"/>
  <c r="BJ92" i="69" s="1"/>
  <c r="BI92" i="69" a="1"/>
  <c r="BI92" i="69" s="1"/>
  <c r="E92" i="69"/>
  <c r="BL92" i="69"/>
  <c r="AV92" i="69"/>
  <c r="R92" i="69"/>
  <c r="BE92" i="69" a="1"/>
  <c r="BE92" i="69" s="1"/>
  <c r="H279" i="15" a="1"/>
  <c r="H279" i="15" s="1"/>
  <c r="I279" i="15" a="1"/>
  <c r="I279" i="15" s="1"/>
  <c r="AE90" i="69" a="1"/>
  <c r="AE90" i="69" s="1"/>
  <c r="AL90" i="69" s="1" a="1"/>
  <c r="AL90" i="69" s="1"/>
  <c r="AQ78" i="69" a="1"/>
  <c r="AQ78" i="69" s="1"/>
  <c r="AX86" i="69"/>
  <c r="K38" i="69" a="1"/>
  <c r="K38" i="69" s="1"/>
  <c r="L38" i="69"/>
  <c r="BE47" i="4"/>
  <c r="AV544" i="13"/>
  <c r="BI47" i="4"/>
  <c r="K93" i="69" a="1"/>
  <c r="K93" i="69" s="1"/>
  <c r="L93" i="69"/>
  <c r="R69" i="69"/>
  <c r="K29" i="69" a="1"/>
  <c r="K29" i="69" s="1"/>
  <c r="L29" i="69"/>
  <c r="U43" i="4"/>
  <c r="AV540" i="13"/>
  <c r="BI43" i="4"/>
  <c r="BE43" i="4"/>
  <c r="BO25" i="4"/>
  <c r="BE25" i="4"/>
  <c r="AV522" i="13"/>
  <c r="BI25" i="4"/>
  <c r="BX49" i="4"/>
  <c r="V49" i="4"/>
  <c r="AR49" i="4"/>
  <c r="AS49" i="4" a="1"/>
  <c r="AS49" i="4" s="1"/>
  <c r="C49" i="69" s="1"/>
  <c r="D49" i="69" s="1" a="1"/>
  <c r="D49" i="69" s="1"/>
  <c r="AQ49" i="4" a="1"/>
  <c r="AQ49" i="4" s="1"/>
  <c r="H49" i="69" s="1"/>
  <c r="BN49" i="4"/>
  <c r="CU49" i="4"/>
  <c r="CV49" i="4" s="1"/>
  <c r="AE30" i="69" a="1"/>
  <c r="AE30" i="69" s="1"/>
  <c r="A426" i="13"/>
  <c r="AX327" i="13"/>
  <c r="A415" i="13"/>
  <c r="AX316" i="13"/>
  <c r="BX53" i="4"/>
  <c r="AS53" i="4" a="1"/>
  <c r="AS53" i="4" s="1"/>
  <c r="C53" i="69" s="1"/>
  <c r="D53" i="69" s="1" a="1"/>
  <c r="D53" i="69" s="1"/>
  <c r="AQ53" i="4" a="1"/>
  <c r="AQ53" i="4" s="1"/>
  <c r="H53" i="69" s="1"/>
  <c r="V53" i="4"/>
  <c r="AR53" i="4"/>
  <c r="BN53" i="4"/>
  <c r="CU53" i="4"/>
  <c r="CV53" i="4" s="1"/>
  <c r="U28" i="4"/>
  <c r="AV525" i="13"/>
  <c r="BE28" i="4"/>
  <c r="BI28" i="4"/>
  <c r="A467" i="13"/>
  <c r="AX368" i="13"/>
  <c r="K31" i="69" a="1"/>
  <c r="K31" i="69" s="1"/>
  <c r="L31" i="69"/>
  <c r="AW92" i="69"/>
  <c r="A442" i="13"/>
  <c r="AX343" i="13"/>
  <c r="BG50" i="69"/>
  <c r="BJ94" i="4"/>
  <c r="BB94" i="4" s="1" a="1"/>
  <c r="BB94" i="4" s="1"/>
  <c r="BA94" i="69"/>
  <c r="AD94" i="69"/>
  <c r="BX48" i="4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BN48" i="4"/>
  <c r="CU48" i="4"/>
  <c r="CV48" i="4" s="1"/>
  <c r="AQ75" i="69" a="1"/>
  <c r="AQ75" i="69" s="1"/>
  <c r="A487" i="13"/>
  <c r="AX388" i="13"/>
  <c r="BX33" i="4"/>
  <c r="AS33" i="4" a="1"/>
  <c r="AS33" i="4" s="1"/>
  <c r="C33" i="69" s="1"/>
  <c r="D33" i="69" s="1" a="1"/>
  <c r="D33" i="69" s="1"/>
  <c r="AQ33" i="4" a="1"/>
  <c r="AQ33" i="4" s="1"/>
  <c r="H33" i="69" s="1"/>
  <c r="AR33" i="4"/>
  <c r="V33" i="4"/>
  <c r="CU33" i="4"/>
  <c r="CV33" i="4" s="1"/>
  <c r="BN33" i="4"/>
  <c r="BI74" i="4"/>
  <c r="BE74" i="4"/>
  <c r="AV571" i="13"/>
  <c r="AV587" i="13"/>
  <c r="BE90" i="4"/>
  <c r="BI90" i="4"/>
  <c r="BX72" i="4"/>
  <c r="AS72" i="4" a="1"/>
  <c r="AS72" i="4" s="1"/>
  <c r="C72" i="69" s="1"/>
  <c r="D72" i="69" s="1" a="1"/>
  <c r="D72" i="69" s="1"/>
  <c r="V72" i="4"/>
  <c r="AR72" i="4"/>
  <c r="AQ72" i="4" a="1"/>
  <c r="AQ72" i="4" s="1"/>
  <c r="H72" i="69" s="1"/>
  <c r="CU72" i="4"/>
  <c r="CV72" i="4" s="1"/>
  <c r="BN72" i="4"/>
  <c r="AR8" i="4"/>
  <c r="AQ8" i="4" a="1"/>
  <c r="AQ8" i="4" s="1"/>
  <c r="H8" i="69" s="1"/>
  <c r="AS8" i="4" a="1"/>
  <c r="AS8" i="4" s="1"/>
  <c r="C8" i="69" s="1"/>
  <c r="D8" i="69" s="1" a="1"/>
  <c r="D8" i="69" s="1"/>
  <c r="V8" i="4"/>
  <c r="BN8" i="4"/>
  <c r="CU8" i="4"/>
  <c r="CV8" i="4" s="1"/>
  <c r="AO58" i="4"/>
  <c r="AN58" i="4"/>
  <c r="AX369" i="13"/>
  <c r="A468" i="13"/>
  <c r="AQ49" i="69" a="1"/>
  <c r="AQ49" i="69" s="1"/>
  <c r="BM65" i="69"/>
  <c r="K88" i="69" a="1"/>
  <c r="K88" i="69" s="1"/>
  <c r="L88" i="69"/>
  <c r="BM72" i="69"/>
  <c r="AQ39" i="69" a="1"/>
  <c r="AQ39" i="69" s="1"/>
  <c r="AZ93" i="69"/>
  <c r="BE67" i="69" a="1"/>
  <c r="BE67" i="69" s="1"/>
  <c r="AE28" i="69" a="1"/>
  <c r="AE28" i="69" s="1"/>
  <c r="BK62" i="69"/>
  <c r="W60" i="4"/>
  <c r="P60" i="69"/>
  <c r="AE60" i="69" s="1" a="1"/>
  <c r="AE60" i="69" s="1"/>
  <c r="BF60" i="69" s="1" a="1"/>
  <c r="BF60" i="69" s="1"/>
  <c r="AV1269" i="13"/>
  <c r="B79" i="69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N8" i="69" a="1"/>
  <c r="AN8" i="69" s="1"/>
  <c r="AP8" i="69" a="1"/>
  <c r="AP8" i="69" s="1"/>
  <c r="AL8" i="69" a="1"/>
  <c r="AL8" i="69" s="1"/>
  <c r="BC53" i="69"/>
  <c r="O53" i="69"/>
  <c r="O68" i="69"/>
  <c r="BC68" i="69"/>
  <c r="AW16" i="69"/>
  <c r="AX16" i="69"/>
  <c r="BG16" i="69"/>
  <c r="BC81" i="69"/>
  <c r="O81" i="69"/>
  <c r="AX5" i="69"/>
  <c r="AW5" i="69"/>
  <c r="BG5" i="69"/>
  <c r="AX30" i="69"/>
  <c r="AX43" i="69"/>
  <c r="AX376" i="13"/>
  <c r="A475" i="13"/>
  <c r="A444" i="13"/>
  <c r="AX345" i="13"/>
  <c r="AE29" i="69" a="1"/>
  <c r="AE29" i="69" s="1"/>
  <c r="AX351" i="13"/>
  <c r="A450" i="13"/>
  <c r="AS56" i="4" a="1"/>
  <c r="AS56" i="4" s="1"/>
  <c r="C56" i="69" s="1"/>
  <c r="D56" i="69" s="1" a="1"/>
  <c r="D56" i="69" s="1"/>
  <c r="AQ56" i="4" a="1"/>
  <c r="AQ56" i="4" s="1"/>
  <c r="H56" i="69" s="1"/>
  <c r="AR56" i="4"/>
  <c r="V56" i="4"/>
  <c r="BN56" i="4"/>
  <c r="AX346" i="13"/>
  <c r="A445" i="13"/>
  <c r="BI62" i="4"/>
  <c r="AV559" i="13"/>
  <c r="BE62" i="4"/>
  <c r="K7" i="69" a="1"/>
  <c r="K7" i="69" s="1"/>
  <c r="L7" i="69"/>
  <c r="AR24" i="4"/>
  <c r="AQ24" i="4" a="1"/>
  <c r="AQ24" i="4" s="1"/>
  <c r="H24" i="69" s="1"/>
  <c r="AS24" i="4" a="1"/>
  <c r="AS24" i="4" s="1"/>
  <c r="C24" i="69" s="1"/>
  <c r="D24" i="69" s="1" a="1"/>
  <c r="D24" i="69" s="1"/>
  <c r="V24" i="4"/>
  <c r="CU24" i="4"/>
  <c r="CV24" i="4" s="1"/>
  <c r="BN24" i="4"/>
  <c r="BX5" i="4"/>
  <c r="V5" i="4"/>
  <c r="AQ5" i="4" a="1"/>
  <c r="AQ5" i="4" s="1"/>
  <c r="H5" i="69" s="1"/>
  <c r="AS5" i="4" a="1"/>
  <c r="AS5" i="4" s="1"/>
  <c r="C5" i="69" s="1"/>
  <c r="D5" i="69" s="1" a="1"/>
  <c r="D5" i="69" s="1"/>
  <c r="AR5" i="4"/>
  <c r="BN5" i="4"/>
  <c r="CU5" i="4"/>
  <c r="CV5" i="4" s="1"/>
  <c r="AX78" i="69"/>
  <c r="AW78" i="69"/>
  <c r="BG78" i="69"/>
  <c r="BM64" i="69"/>
  <c r="AE87" i="69" a="1"/>
  <c r="AE87" i="69" s="1"/>
  <c r="AH87" i="69" s="1" a="1"/>
  <c r="AH87" i="69" s="1"/>
  <c r="BM57" i="69"/>
  <c r="AL57" i="69" a="1"/>
  <c r="AL57" i="69" s="1"/>
  <c r="AZ95" i="69"/>
  <c r="AX70" i="69"/>
  <c r="AW70" i="69"/>
  <c r="BG75" i="69"/>
  <c r="AX75" i="69"/>
  <c r="AW75" i="69"/>
  <c r="AY80" i="69"/>
  <c r="BH80" i="69"/>
  <c r="BJ80" i="69" s="1"/>
  <c r="E80" i="69"/>
  <c r="AV80" i="69"/>
  <c r="BL80" i="69"/>
  <c r="R80" i="69"/>
  <c r="BE80" i="69" a="1"/>
  <c r="BE80" i="69" s="1"/>
  <c r="BI80" i="69" a="1"/>
  <c r="BI80" i="69" s="1"/>
  <c r="BE94" i="69" a="1"/>
  <c r="BE94" i="69" s="1"/>
  <c r="AV94" i="69"/>
  <c r="BH94" i="69"/>
  <c r="BJ94" i="69" s="1"/>
  <c r="R94" i="69"/>
  <c r="E94" i="69"/>
  <c r="BL94" i="69"/>
  <c r="BI94" i="69" a="1"/>
  <c r="BI94" i="69" s="1"/>
  <c r="AY94" i="69"/>
  <c r="BM78" i="69"/>
  <c r="BH64" i="69"/>
  <c r="BJ64" i="69" s="1"/>
  <c r="E64" i="69"/>
  <c r="BL64" i="69"/>
  <c r="AV64" i="69"/>
  <c r="BE64" i="69" a="1"/>
  <c r="BE64" i="69" s="1"/>
  <c r="AY64" i="69"/>
  <c r="BI64" i="69" a="1"/>
  <c r="BI64" i="69" s="1"/>
  <c r="R64" i="69"/>
  <c r="BK67" i="69"/>
  <c r="AV59" i="69"/>
  <c r="AY59" i="69"/>
  <c r="E59" i="69"/>
  <c r="BL59" i="69"/>
  <c r="BE59" i="69" a="1"/>
  <c r="BE59" i="69" s="1"/>
  <c r="R59" i="69"/>
  <c r="BI59" i="69" a="1"/>
  <c r="BI59" i="69" s="1"/>
  <c r="BH59" i="69"/>
  <c r="AE59" i="69" a="1"/>
  <c r="AE59" i="69" s="1"/>
  <c r="AH59" i="69" s="1" a="1"/>
  <c r="AH59" i="69" s="1"/>
  <c r="N489" i="15" a="1"/>
  <c r="N489" i="15" s="1"/>
  <c r="K489" i="15" a="1"/>
  <c r="K489" i="15" s="1"/>
  <c r="L489" i="15" a="1"/>
  <c r="L489" i="15" s="1"/>
  <c r="M489" i="15" a="1"/>
  <c r="M489" i="15" s="1"/>
  <c r="N487" i="15" a="1"/>
  <c r="N487" i="15" s="1"/>
  <c r="L487" i="15" a="1"/>
  <c r="L487" i="15" s="1"/>
  <c r="M487" i="15" a="1"/>
  <c r="M487" i="15" s="1"/>
  <c r="K487" i="15" a="1"/>
  <c r="K487" i="15" s="1"/>
  <c r="BV55" i="4" a="1"/>
  <c r="BV55" i="4" s="1"/>
  <c r="BW55" i="4" a="1"/>
  <c r="BW55" i="4" s="1"/>
  <c r="BU55" i="4" s="1" a="1"/>
  <c r="BU55" i="4" s="1"/>
  <c r="AX63" i="69"/>
  <c r="AR83" i="4"/>
  <c r="AQ83" i="4" a="1"/>
  <c r="AQ83" i="4" s="1"/>
  <c r="H83" i="69" s="1"/>
  <c r="V83" i="4"/>
  <c r="AS83" i="4" a="1"/>
  <c r="AS83" i="4" s="1"/>
  <c r="C83" i="69" s="1"/>
  <c r="D83" i="69" s="1" a="1"/>
  <c r="D83" i="69" s="1"/>
  <c r="CU83" i="4"/>
  <c r="CV83" i="4" s="1"/>
  <c r="BN83" i="4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V67" i="4"/>
  <c r="AQ67" i="4" a="1"/>
  <c r="AQ67" i="4" s="1"/>
  <c r="H67" i="69" s="1"/>
  <c r="AS67" i="4" a="1"/>
  <c r="AS67" i="4" s="1"/>
  <c r="C67" i="69" s="1"/>
  <c r="D67" i="69" s="1" a="1"/>
  <c r="D67" i="69" s="1"/>
  <c r="AR67" i="4"/>
  <c r="BN67" i="4"/>
  <c r="CU67" i="4"/>
  <c r="CV67" i="4" s="1"/>
  <c r="A473" i="13"/>
  <c r="AX374" i="13"/>
  <c r="AW72" i="69"/>
  <c r="BX27" i="4"/>
  <c r="AR27" i="4"/>
  <c r="V27" i="4"/>
  <c r="AQ27" i="4" a="1"/>
  <c r="AQ27" i="4" s="1"/>
  <c r="H27" i="69" s="1"/>
  <c r="AS27" i="4" a="1"/>
  <c r="AS27" i="4" s="1"/>
  <c r="C27" i="69" s="1"/>
  <c r="D27" i="69" s="1" a="1"/>
  <c r="D27" i="69" s="1"/>
  <c r="BN27" i="4"/>
  <c r="CU27" i="4"/>
  <c r="CV27" i="4" s="1"/>
  <c r="AS82" i="4" a="1"/>
  <c r="AS82" i="4" s="1"/>
  <c r="C82" i="69" s="1"/>
  <c r="D82" i="69" s="1" a="1"/>
  <c r="D82" i="69" s="1"/>
  <c r="AR82" i="4"/>
  <c r="AQ82" i="4" a="1"/>
  <c r="AQ82" i="4" s="1"/>
  <c r="H82" i="69" s="1"/>
  <c r="V82" i="4"/>
  <c r="BN82" i="4"/>
  <c r="CU82" i="4"/>
  <c r="CV82" i="4" s="1"/>
  <c r="F131" i="15" a="1"/>
  <c r="F131" i="15" s="1"/>
  <c r="O4" i="69"/>
  <c r="BC4" i="69"/>
  <c r="K53" i="69" a="1"/>
  <c r="K53" i="69" s="1"/>
  <c r="L53" i="69"/>
  <c r="K28" i="69" a="1"/>
  <c r="K28" i="69" s="1"/>
  <c r="L28" i="69"/>
  <c r="K57" i="69" a="1"/>
  <c r="K57" i="69" s="1"/>
  <c r="L57" i="69"/>
  <c r="U85" i="4"/>
  <c r="BI85" i="4"/>
  <c r="AV582" i="13"/>
  <c r="BE85" i="4"/>
  <c r="AE47" i="69" a="1"/>
  <c r="AE47" i="69" s="1"/>
  <c r="AV528" i="13"/>
  <c r="BI31" i="4"/>
  <c r="BE31" i="4"/>
  <c r="BG45" i="69"/>
  <c r="I434" i="15" a="1"/>
  <c r="I434" i="15" s="1"/>
  <c r="H434" i="15" a="1"/>
  <c r="H434" i="15" s="1"/>
  <c r="R78" i="69"/>
  <c r="V44" i="4"/>
  <c r="AS44" i="4" a="1"/>
  <c r="AS44" i="4" s="1"/>
  <c r="C44" i="69" s="1"/>
  <c r="D44" i="69" s="1" a="1"/>
  <c r="D44" i="69" s="1"/>
  <c r="AQ44" i="4" a="1"/>
  <c r="AQ44" i="4" s="1"/>
  <c r="H44" i="69" s="1"/>
  <c r="AR44" i="4"/>
  <c r="CU44" i="4"/>
  <c r="CV44" i="4" s="1"/>
  <c r="BN44" i="4"/>
  <c r="BX42" i="4"/>
  <c r="V42" i="4"/>
  <c r="AQ42" i="4" a="1"/>
  <c r="AQ42" i="4" s="1"/>
  <c r="H42" i="69" s="1"/>
  <c r="AR42" i="4"/>
  <c r="AS42" i="4" a="1"/>
  <c r="AS42" i="4" s="1"/>
  <c r="C42" i="69" s="1"/>
  <c r="D42" i="69" s="1" a="1"/>
  <c r="D42" i="69" s="1"/>
  <c r="BN42" i="4"/>
  <c r="AV545" i="13"/>
  <c r="BI48" i="4"/>
  <c r="BE48" i="4"/>
  <c r="AI51" i="69" a="1"/>
  <c r="AI51" i="69" s="1"/>
  <c r="BG39" i="69"/>
  <c r="K90" i="69" a="1"/>
  <c r="K90" i="69" s="1"/>
  <c r="L90" i="69"/>
  <c r="K30" i="69" a="1"/>
  <c r="K30" i="69" s="1"/>
  <c r="L30" i="69"/>
  <c r="BK8" i="69"/>
  <c r="BJ58" i="4"/>
  <c r="BB58" i="4" s="1" a="1"/>
  <c r="BB58" i="4" s="1"/>
  <c r="BA58" i="69"/>
  <c r="AD58" i="69"/>
  <c r="AX383" i="13"/>
  <c r="A482" i="13"/>
  <c r="AQ12" i="69" a="1"/>
  <c r="AQ12" i="69" s="1"/>
  <c r="BX65" i="4"/>
  <c r="AS65" i="4" a="1"/>
  <c r="AS65" i="4" s="1"/>
  <c r="C65" i="69" s="1"/>
  <c r="D65" i="69" s="1" a="1"/>
  <c r="D65" i="69" s="1"/>
  <c r="V65" i="4"/>
  <c r="AQ65" i="4" a="1"/>
  <c r="AQ65" i="4" s="1"/>
  <c r="H65" i="69" s="1"/>
  <c r="AR65" i="4"/>
  <c r="BN65" i="4"/>
  <c r="AQ17" i="69" a="1"/>
  <c r="AQ17" i="69" s="1"/>
  <c r="A455" i="13"/>
  <c r="AX356" i="13"/>
  <c r="AS88" i="4" a="1"/>
  <c r="AS88" i="4" s="1"/>
  <c r="C88" i="69" s="1"/>
  <c r="D88" i="69" s="1" a="1"/>
  <c r="D88" i="69" s="1"/>
  <c r="V88" i="4"/>
  <c r="AR88" i="4"/>
  <c r="AQ88" i="4" a="1"/>
  <c r="AQ88" i="4" s="1"/>
  <c r="H88" i="69" s="1"/>
  <c r="BN88" i="4"/>
  <c r="BL70" i="69"/>
  <c r="R70" i="69"/>
  <c r="AV70" i="69"/>
  <c r="BI70" i="69" a="1"/>
  <c r="BI70" i="69" s="1"/>
  <c r="BE70" i="69" a="1"/>
  <c r="BE70" i="69" s="1"/>
  <c r="AY70" i="69"/>
  <c r="BH70" i="69"/>
  <c r="BJ70" i="69" s="1"/>
  <c r="BF70" i="69" a="1"/>
  <c r="BF70" i="69" s="1"/>
  <c r="AH70" i="69" a="1"/>
  <c r="AH70" i="69" s="1"/>
  <c r="E70" i="69"/>
  <c r="AE26" i="69" a="1"/>
  <c r="AE26" i="69" s="1"/>
  <c r="AA21" i="4"/>
  <c r="F21" i="69" s="1"/>
  <c r="AV1225" i="13"/>
  <c r="B35" i="69"/>
  <c r="O28" i="69"/>
  <c r="BC28" i="69"/>
  <c r="H374" i="15" a="1"/>
  <c r="H374" i="15" s="1"/>
  <c r="I374" i="15" a="1"/>
  <c r="I374" i="15" s="1"/>
  <c r="V4" i="4"/>
  <c r="AR4" i="4"/>
  <c r="AQ4" i="4" a="1"/>
  <c r="AQ4" i="4" s="1"/>
  <c r="H4" i="69" s="1"/>
  <c r="AS4" i="4" a="1"/>
  <c r="AS4" i="4" s="1"/>
  <c r="C4" i="69" s="1"/>
  <c r="D4" i="69" s="1" a="1"/>
  <c r="D4" i="69" s="1"/>
  <c r="BN4" i="4"/>
  <c r="BX4" i="4"/>
  <c r="CU4" i="4"/>
  <c r="CV4" i="4" s="1"/>
  <c r="AV1247" i="13"/>
  <c r="B57" i="69"/>
  <c r="AV1214" i="13"/>
  <c r="B24" i="69"/>
  <c r="AO14" i="69" a="1"/>
  <c r="AO14" i="69" s="1"/>
  <c r="AN14" i="69" a="1"/>
  <c r="AN14" i="69" s="1"/>
  <c r="AG14" i="69" a="1"/>
  <c r="AG14" i="69" s="1"/>
  <c r="AS14" i="69" a="1"/>
  <c r="AS14" i="69" s="1"/>
  <c r="AI14" i="69" a="1"/>
  <c r="AI14" i="69" s="1"/>
  <c r="AM14" i="69" a="1"/>
  <c r="AM14" i="69" s="1"/>
  <c r="AR14" i="69" a="1"/>
  <c r="AR14" i="69" s="1"/>
  <c r="AP14" i="69" a="1"/>
  <c r="AP14" i="69" s="1"/>
  <c r="AM17" i="69" a="1"/>
  <c r="AM17" i="69" s="1"/>
  <c r="AO17" i="69" a="1"/>
  <c r="AO17" i="69" s="1"/>
  <c r="AG17" i="69" a="1"/>
  <c r="AG17" i="69" s="1"/>
  <c r="AR17" i="69" a="1"/>
  <c r="AR17" i="69" s="1"/>
  <c r="AI17" i="69" a="1"/>
  <c r="AI17" i="69" s="1"/>
  <c r="AS17" i="69" a="1"/>
  <c r="AS17" i="69" s="1"/>
  <c r="AN17" i="69" a="1"/>
  <c r="AN17" i="69" s="1"/>
  <c r="AP17" i="69" a="1"/>
  <c r="AP17" i="69" s="1"/>
  <c r="BC3" i="69"/>
  <c r="O3" i="69"/>
  <c r="O80" i="69"/>
  <c r="BC80" i="69"/>
  <c r="H120" i="15" a="1"/>
  <c r="H120" i="15" s="1"/>
  <c r="I120" i="15" a="1"/>
  <c r="I120" i="15" s="1"/>
  <c r="AI13" i="69" a="1"/>
  <c r="AI13" i="69" s="1"/>
  <c r="AG13" i="69" a="1"/>
  <c r="AG13" i="69" s="1"/>
  <c r="AN13" i="69" a="1"/>
  <c r="AN13" i="69" s="1"/>
  <c r="AS13" i="69" a="1"/>
  <c r="AS13" i="69" s="1"/>
  <c r="AR13" i="69" a="1"/>
  <c r="AR13" i="69" s="1"/>
  <c r="AM13" i="69" a="1"/>
  <c r="AM13" i="69" s="1"/>
  <c r="AO13" i="69" a="1"/>
  <c r="AO13" i="69" s="1"/>
  <c r="AP13" i="69" a="1"/>
  <c r="AP13" i="69" s="1"/>
  <c r="AH13" i="69" a="1"/>
  <c r="AH13" i="69" s="1"/>
  <c r="BF13" i="69" a="1"/>
  <c r="BF13" i="69" s="1"/>
  <c r="AN7" i="69" a="1"/>
  <c r="AN7" i="69" s="1"/>
  <c r="AM7" i="69" a="1"/>
  <c r="AM7" i="69" s="1"/>
  <c r="AR7" i="69" a="1"/>
  <c r="AR7" i="69" s="1"/>
  <c r="AG7" i="69" a="1"/>
  <c r="AG7" i="69" s="1"/>
  <c r="AI7" i="69" a="1"/>
  <c r="AI7" i="69" s="1"/>
  <c r="AO7" i="69" a="1"/>
  <c r="AO7" i="69" s="1"/>
  <c r="AS7" i="69" a="1"/>
  <c r="AS7" i="69" s="1"/>
  <c r="AP7" i="69" a="1"/>
  <c r="AP7" i="69" s="1"/>
  <c r="BF7" i="69" a="1"/>
  <c r="BF7" i="69" s="1"/>
  <c r="O56" i="69"/>
  <c r="BK19" i="69"/>
  <c r="AX19" i="69"/>
  <c r="BG19" i="69"/>
  <c r="AW19" i="69"/>
  <c r="O79" i="69"/>
  <c r="BC79" i="69"/>
  <c r="AX54" i="69"/>
  <c r="G18" i="69"/>
  <c r="BC74" i="69"/>
  <c r="O74" i="69"/>
  <c r="AV1280" i="13"/>
  <c r="B90" i="69"/>
  <c r="O42" i="69"/>
  <c r="BC42" i="69"/>
  <c r="AV1762" i="13"/>
  <c r="AB1762" i="13"/>
  <c r="B9" i="69"/>
  <c r="H458" i="15" a="1"/>
  <c r="H458" i="15" s="1"/>
  <c r="I458" i="15" a="1"/>
  <c r="I458" i="15" s="1"/>
  <c r="BG23" i="69"/>
  <c r="BC54" i="69"/>
  <c r="O54" i="69"/>
  <c r="B13" i="69"/>
  <c r="AV1234" i="13"/>
  <c r="B44" i="69"/>
  <c r="BC12" i="69"/>
  <c r="O12" i="69"/>
  <c r="G19" i="69"/>
  <c r="BG38" i="69"/>
  <c r="AV1243" i="13"/>
  <c r="B53" i="69"/>
  <c r="BG48" i="69"/>
  <c r="BO62" i="4"/>
  <c r="A404" i="13"/>
  <c r="AX305" i="13"/>
  <c r="AX377" i="13"/>
  <c r="A476" i="13"/>
  <c r="AV302" i="13"/>
  <c r="A15" i="27" a="1"/>
  <c r="A15" i="27" s="1"/>
  <c r="A457" i="13"/>
  <c r="AX358" i="13"/>
  <c r="AR9" i="4"/>
  <c r="AQ9" i="4" a="1"/>
  <c r="AQ9" i="4" s="1"/>
  <c r="H9" i="69" s="1"/>
  <c r="AS9" i="4" a="1"/>
  <c r="AS9" i="4" s="1"/>
  <c r="C9" i="69" s="1"/>
  <c r="D9" i="69" s="1" a="1"/>
  <c r="D9" i="69" s="1"/>
  <c r="V9" i="4"/>
  <c r="CU9" i="4"/>
  <c r="CV9" i="4" s="1"/>
  <c r="BN9" i="4"/>
  <c r="K34" i="69" a="1"/>
  <c r="K34" i="69" s="1"/>
  <c r="L34" i="69"/>
  <c r="AQ7" i="69" a="1"/>
  <c r="AQ7" i="69" s="1"/>
  <c r="BE7" i="4"/>
  <c r="AV504" i="13"/>
  <c r="BI7" i="4"/>
  <c r="BM90" i="69"/>
  <c r="H233" i="15" a="1"/>
  <c r="H233" i="15" s="1"/>
  <c r="I233" i="15" a="1"/>
  <c r="I233" i="15" s="1"/>
  <c r="AV91" i="69"/>
  <c r="BE91" i="69" a="1"/>
  <c r="BE91" i="69" s="1"/>
  <c r="BH91" i="69"/>
  <c r="BJ91" i="69" s="1"/>
  <c r="R91" i="69"/>
  <c r="BI91" i="69" a="1"/>
  <c r="BI91" i="69" s="1"/>
  <c r="BL91" i="69"/>
  <c r="E91" i="69"/>
  <c r="AY91" i="69"/>
  <c r="BF91" i="69" a="1"/>
  <c r="BF91" i="69" s="1"/>
  <c r="AE56" i="69" a="1"/>
  <c r="AE56" i="69" s="1"/>
  <c r="BF56" i="69" s="1" a="1"/>
  <c r="BF56" i="69" s="1"/>
  <c r="BM68" i="69"/>
  <c r="I255" i="15" a="1"/>
  <c r="I255" i="15" s="1"/>
  <c r="H255" i="15" a="1"/>
  <c r="H255" i="15" s="1"/>
  <c r="BM56" i="69"/>
  <c r="AZ92" i="69"/>
  <c r="B51" i="14"/>
  <c r="O1" i="14" s="1"/>
  <c r="B53" i="23"/>
  <c r="C52" i="23"/>
  <c r="AG1" i="23"/>
  <c r="B52" i="23"/>
  <c r="F51" i="23"/>
  <c r="F38" i="23" s="1"/>
  <c r="C53" i="23"/>
  <c r="L77" i="69"/>
  <c r="R63" i="69"/>
  <c r="BE63" i="69" a="1"/>
  <c r="BE63" i="69" s="1"/>
  <c r="BI63" i="69" a="1"/>
  <c r="BI63" i="69" s="1"/>
  <c r="BL63" i="69"/>
  <c r="BH63" i="69"/>
  <c r="AV63" i="69"/>
  <c r="E63" i="69"/>
  <c r="AY63" i="69"/>
  <c r="AX326" i="13"/>
  <c r="A425" i="13"/>
  <c r="A359" i="13"/>
  <c r="AX260" i="13"/>
  <c r="K47" i="69" a="1"/>
  <c r="K47" i="69" s="1"/>
  <c r="L47" i="69"/>
  <c r="BL86" i="69"/>
  <c r="BE86" i="69" a="1"/>
  <c r="BE86" i="69" s="1"/>
  <c r="BI86" i="69" a="1"/>
  <c r="BI86" i="69" s="1"/>
  <c r="E86" i="69"/>
  <c r="AY86" i="69"/>
  <c r="AO86" i="69" s="1" a="1"/>
  <c r="AO86" i="69" s="1"/>
  <c r="AV86" i="69"/>
  <c r="BH86" i="69"/>
  <c r="BJ86" i="69" s="1"/>
  <c r="AH86" i="69" a="1"/>
  <c r="AH86" i="69" s="1"/>
  <c r="BF86" i="69" a="1"/>
  <c r="BF86" i="69" s="1"/>
  <c r="F362" i="15" a="1"/>
  <c r="F362" i="15" s="1"/>
  <c r="AV69" i="69"/>
  <c r="BG51" i="69"/>
  <c r="AQ32" i="4" a="1"/>
  <c r="AQ32" i="4" s="1"/>
  <c r="H32" i="69" s="1"/>
  <c r="AR32" i="4"/>
  <c r="V32" i="4"/>
  <c r="AS32" i="4" a="1"/>
  <c r="AS32" i="4" s="1"/>
  <c r="C32" i="69" s="1"/>
  <c r="D32" i="69" s="1" a="1"/>
  <c r="D32" i="69" s="1"/>
  <c r="CU32" i="4"/>
  <c r="CV32" i="4" s="1"/>
  <c r="BN32" i="4"/>
  <c r="AV524" i="13"/>
  <c r="BE27" i="4"/>
  <c r="BI27" i="4"/>
  <c r="K49" i="69" a="1"/>
  <c r="K49" i="69" s="1"/>
  <c r="L49" i="69"/>
  <c r="K40" i="69" a="1"/>
  <c r="K40" i="69" s="1"/>
  <c r="L40" i="69"/>
  <c r="K82" i="69" a="1"/>
  <c r="K82" i="69" s="1"/>
  <c r="L82" i="69"/>
  <c r="K70" i="69" a="1"/>
  <c r="K70" i="69" s="1"/>
  <c r="L70" i="69"/>
  <c r="BI13" i="4"/>
  <c r="BE13" i="4"/>
  <c r="AV510" i="13"/>
  <c r="V59" i="4"/>
  <c r="AS59" i="4" a="1"/>
  <c r="AS59" i="4" s="1"/>
  <c r="C59" i="69" s="1"/>
  <c r="D59" i="69" s="1" a="1"/>
  <c r="D59" i="69" s="1"/>
  <c r="AQ59" i="4" a="1"/>
  <c r="AQ59" i="4" s="1"/>
  <c r="H59" i="69" s="1"/>
  <c r="AR59" i="4"/>
  <c r="CU59" i="4"/>
  <c r="CV59" i="4" s="1"/>
  <c r="BN59" i="4"/>
  <c r="BX57" i="4"/>
  <c r="AS57" i="4" a="1"/>
  <c r="AS57" i="4" s="1"/>
  <c r="C57" i="69" s="1"/>
  <c r="D57" i="69" s="1" a="1"/>
  <c r="D57" i="69" s="1"/>
  <c r="V57" i="4"/>
  <c r="AR57" i="4"/>
  <c r="AQ57" i="4" a="1"/>
  <c r="AQ57" i="4" s="1"/>
  <c r="H57" i="69" s="1"/>
  <c r="BN57" i="4"/>
  <c r="AR85" i="4"/>
  <c r="AS85" i="4" a="1"/>
  <c r="AS85" i="4" s="1"/>
  <c r="C85" i="69" s="1"/>
  <c r="D85" i="69" s="1" a="1"/>
  <c r="D85" i="69" s="1"/>
  <c r="AQ85" i="4" a="1"/>
  <c r="AQ85" i="4" s="1"/>
  <c r="H85" i="69" s="1"/>
  <c r="V85" i="4"/>
  <c r="BN85" i="4"/>
  <c r="CU85" i="4"/>
  <c r="CV85" i="4" s="1"/>
  <c r="BG71" i="69"/>
  <c r="AW67" i="69"/>
  <c r="AV565" i="13"/>
  <c r="BI68" i="4"/>
  <c r="BE68" i="4"/>
  <c r="A490" i="13"/>
  <c r="AX391" i="13"/>
  <c r="K42" i="69" a="1"/>
  <c r="K42" i="69" s="1"/>
  <c r="L42" i="69"/>
  <c r="A488" i="13"/>
  <c r="AX389" i="13"/>
  <c r="K14" i="69" a="1"/>
  <c r="K14" i="69" s="1"/>
  <c r="L14" i="69"/>
  <c r="BX74" i="4"/>
  <c r="AS74" i="4" a="1"/>
  <c r="AS74" i="4" s="1"/>
  <c r="C74" i="69" s="1"/>
  <c r="D74" i="69" s="1" a="1"/>
  <c r="D74" i="69" s="1"/>
  <c r="AR74" i="4"/>
  <c r="V74" i="4"/>
  <c r="AQ74" i="4" a="1"/>
  <c r="AQ74" i="4" s="1"/>
  <c r="H74" i="69" s="1"/>
  <c r="BN74" i="4"/>
  <c r="A411" i="13"/>
  <c r="AX312" i="13"/>
  <c r="BK63" i="69"/>
  <c r="AQ24" i="69" a="1"/>
  <c r="AQ24" i="69" s="1"/>
  <c r="AL89" i="69" a="1"/>
  <c r="AL89" i="69" s="1"/>
  <c r="K65" i="69" a="1"/>
  <c r="K65" i="69" s="1"/>
  <c r="L65" i="69"/>
  <c r="AQ11" i="4" a="1"/>
  <c r="AQ11" i="4" s="1"/>
  <c r="H11" i="69" s="1"/>
  <c r="V11" i="4"/>
  <c r="AS11" i="4" a="1"/>
  <c r="AS11" i="4" s="1"/>
  <c r="C11" i="69" s="1"/>
  <c r="D11" i="69" s="1" a="1"/>
  <c r="D11" i="69" s="1"/>
  <c r="AR11" i="4"/>
  <c r="BN11" i="4"/>
  <c r="AX370" i="13"/>
  <c r="A469" i="13"/>
  <c r="BG46" i="69"/>
  <c r="AQ46" i="69" a="1"/>
  <c r="AQ46" i="69" s="1"/>
  <c r="AQ18" i="69" a="1"/>
  <c r="AQ18" i="69" s="1"/>
  <c r="AE71" i="69" a="1"/>
  <c r="AE71" i="69" s="1"/>
  <c r="AO71" i="69" s="1" a="1"/>
  <c r="AO71" i="69" s="1"/>
  <c r="BO32" i="4"/>
  <c r="AE60" i="4"/>
  <c r="AV1349" i="13" s="1"/>
  <c r="AT60" i="69"/>
  <c r="BD60" i="4"/>
  <c r="AV1151" i="13" s="1"/>
  <c r="AV1223" i="13"/>
  <c r="B33" i="69"/>
  <c r="H154" i="15" a="1"/>
  <c r="H154" i="15" s="1"/>
  <c r="I154" i="15" a="1"/>
  <c r="I154" i="15" s="1"/>
  <c r="BC31" i="69"/>
  <c r="I429" i="15" a="1"/>
  <c r="I429" i="15" s="1"/>
  <c r="H429" i="15" a="1"/>
  <c r="H429" i="15" s="1"/>
  <c r="BX45" i="4"/>
  <c r="AS45" i="4" a="1"/>
  <c r="AS45" i="4" s="1"/>
  <c r="C45" i="69" s="1"/>
  <c r="D45" i="69" s="1" a="1"/>
  <c r="D45" i="69" s="1"/>
  <c r="AR45" i="4"/>
  <c r="V45" i="4"/>
  <c r="AQ45" i="4" a="1"/>
  <c r="AQ45" i="4" s="1"/>
  <c r="H45" i="69" s="1"/>
  <c r="BN45" i="4"/>
  <c r="CU45" i="4"/>
  <c r="CV45" i="4" s="1"/>
  <c r="BX92" i="4"/>
  <c r="AQ92" i="4" a="1"/>
  <c r="AQ92" i="4" s="1"/>
  <c r="H92" i="69" s="1"/>
  <c r="AS92" i="4" a="1"/>
  <c r="AS92" i="4" s="1"/>
  <c r="C92" i="69" s="1"/>
  <c r="D92" i="69" s="1" a="1"/>
  <c r="D92" i="69" s="1"/>
  <c r="V92" i="4"/>
  <c r="AR92" i="4"/>
  <c r="BN92" i="4"/>
  <c r="CU92" i="4"/>
  <c r="CV92" i="4" s="1"/>
  <c r="AX353" i="13"/>
  <c r="A452" i="13"/>
  <c r="AX53" i="69"/>
  <c r="BE56" i="4"/>
  <c r="BI56" i="4"/>
  <c r="AV553" i="13"/>
  <c r="BO35" i="4"/>
  <c r="BI35" i="4"/>
  <c r="AV532" i="13"/>
  <c r="BE35" i="4"/>
  <c r="AI88" i="69" a="1"/>
  <c r="AI88" i="69" s="1"/>
  <c r="AR88" i="69" a="1"/>
  <c r="AR88" i="69" s="1"/>
  <c r="Y20" i="27"/>
  <c r="T20" i="27" a="1"/>
  <c r="A413" i="13"/>
  <c r="AX314" i="13"/>
  <c r="K24" i="69" a="1"/>
  <c r="K24" i="69" s="1"/>
  <c r="L24" i="69"/>
  <c r="BK5" i="69"/>
  <c r="AX81" i="69"/>
  <c r="AW81" i="69"/>
  <c r="F38" i="14"/>
  <c r="P38" i="14" s="1"/>
  <c r="C56" i="14"/>
  <c r="B56" i="14"/>
  <c r="D56" i="14"/>
  <c r="BM69" i="69"/>
  <c r="AL69" i="69" a="1"/>
  <c r="AL69" i="69" s="1"/>
  <c r="AR58" i="69" a="1"/>
  <c r="AR58" i="69" s="1"/>
  <c r="AI58" i="69" a="1"/>
  <c r="AI58" i="69" s="1"/>
  <c r="AG58" i="69" a="1"/>
  <c r="AG58" i="69" s="1"/>
  <c r="AM58" i="69" a="1"/>
  <c r="AM58" i="69" s="1"/>
  <c r="AS58" i="69" a="1"/>
  <c r="AS58" i="69" s="1"/>
  <c r="AP58" i="69" a="1"/>
  <c r="AP58" i="69" s="1"/>
  <c r="AC60" i="69"/>
  <c r="H62" i="15" a="1"/>
  <c r="H62" i="15" s="1"/>
  <c r="G62" i="15"/>
  <c r="I62" i="15" a="1"/>
  <c r="I62" i="15" s="1"/>
  <c r="C52" i="14"/>
  <c r="B53" i="14"/>
  <c r="C54" i="14"/>
  <c r="B54" i="14"/>
  <c r="B52" i="14"/>
  <c r="C53" i="14"/>
  <c r="BK91" i="69"/>
  <c r="BM85" i="69"/>
  <c r="AL85" i="69" a="1"/>
  <c r="AL85" i="69" s="1"/>
  <c r="AY55" i="69"/>
  <c r="E55" i="69"/>
  <c r="BH55" i="69"/>
  <c r="BJ55" i="69" s="1"/>
  <c r="BI55" i="69" a="1"/>
  <c r="BI55" i="69" s="1"/>
  <c r="BE55" i="69" a="1"/>
  <c r="BE55" i="69" s="1"/>
  <c r="R55" i="69"/>
  <c r="A447" i="13"/>
  <c r="AX348" i="13"/>
  <c r="BE67" i="4"/>
  <c r="AV564" i="13"/>
  <c r="BI67" i="4"/>
  <c r="AE20" i="69" a="1"/>
  <c r="AE20" i="69" s="1"/>
  <c r="AV535" i="13"/>
  <c r="BI38" i="4"/>
  <c r="BE38" i="4"/>
  <c r="AX363" i="13"/>
  <c r="A462" i="13"/>
  <c r="A477" i="13"/>
  <c r="AX378" i="13"/>
  <c r="BE69" i="69" a="1"/>
  <c r="BE69" i="69" s="1"/>
  <c r="BG47" i="69"/>
  <c r="AR29" i="4"/>
  <c r="AQ29" i="4" a="1"/>
  <c r="AQ29" i="4" s="1"/>
  <c r="H29" i="69" s="1"/>
  <c r="V29" i="4"/>
  <c r="AS29" i="4" a="1"/>
  <c r="AS29" i="4" s="1"/>
  <c r="C29" i="69" s="1"/>
  <c r="D29" i="69" s="1" a="1"/>
  <c r="D29" i="69" s="1"/>
  <c r="BN29" i="4"/>
  <c r="BX23" i="4"/>
  <c r="AS23" i="4" a="1"/>
  <c r="AS23" i="4" s="1"/>
  <c r="C23" i="69" s="1"/>
  <c r="D23" i="69" s="1" a="1"/>
  <c r="D23" i="69" s="1"/>
  <c r="V23" i="4"/>
  <c r="AQ23" i="4" a="1"/>
  <c r="AQ23" i="4" s="1"/>
  <c r="H23" i="69" s="1"/>
  <c r="AR23" i="4"/>
  <c r="BN23" i="4"/>
  <c r="CU23" i="4"/>
  <c r="CV23" i="4" s="1"/>
  <c r="K32" i="69" a="1"/>
  <c r="K32" i="69" s="1"/>
  <c r="L32" i="69"/>
  <c r="AE25" i="69" a="1"/>
  <c r="AE25" i="69" s="1"/>
  <c r="AR25" i="4"/>
  <c r="AS25" i="4" a="1"/>
  <c r="AS25" i="4" s="1"/>
  <c r="C25" i="69" s="1"/>
  <c r="D25" i="69" s="1" a="1"/>
  <c r="D25" i="69" s="1"/>
  <c r="AQ25" i="4" a="1"/>
  <c r="AQ25" i="4" s="1"/>
  <c r="H25" i="69" s="1"/>
  <c r="V25" i="4"/>
  <c r="CU25" i="4"/>
  <c r="CV25" i="4" s="1"/>
  <c r="BN25" i="4"/>
  <c r="AE40" i="69" a="1"/>
  <c r="AE40" i="69" s="1"/>
  <c r="AQ90" i="69" a="1"/>
  <c r="AQ90" i="69" s="1"/>
  <c r="AZ64" i="69"/>
  <c r="K13" i="69" a="1"/>
  <c r="K13" i="69" s="1"/>
  <c r="L13" i="69"/>
  <c r="BE53" i="4"/>
  <c r="AV550" i="13"/>
  <c r="BI53" i="4"/>
  <c r="AQ27" i="69" a="1"/>
  <c r="AQ27" i="69" s="1"/>
  <c r="A485" i="13"/>
  <c r="AX386" i="13"/>
  <c r="AX306" i="13"/>
  <c r="A405" i="13"/>
  <c r="F76" i="15" a="1"/>
  <c r="F76" i="15" s="1"/>
  <c r="AP70" i="69" a="1"/>
  <c r="AP70" i="69" s="1"/>
  <c r="AX45" i="69"/>
  <c r="AE37" i="69" a="1"/>
  <c r="AE37" i="69" s="1"/>
  <c r="AE34" i="69" a="1"/>
  <c r="AE34" i="69" s="1"/>
  <c r="AL32" i="69" a="1"/>
  <c r="AL32" i="69" s="1"/>
  <c r="AI32" i="69" a="1"/>
  <c r="AI32" i="69" s="1"/>
  <c r="AO32" i="69" a="1"/>
  <c r="AO32" i="69" s="1"/>
  <c r="AS32" i="69" a="1"/>
  <c r="AS32" i="69" s="1"/>
  <c r="AN32" i="69" a="1"/>
  <c r="AN32" i="69" s="1"/>
  <c r="AR32" i="69" a="1"/>
  <c r="AR32" i="69" s="1"/>
  <c r="AM32" i="69" a="1"/>
  <c r="AM32" i="69" s="1"/>
  <c r="AG32" i="69" a="1"/>
  <c r="AG32" i="69" s="1"/>
  <c r="AP32" i="69" a="1"/>
  <c r="AP32" i="69" s="1"/>
  <c r="BE78" i="69" a="1"/>
  <c r="BE78" i="69" s="1"/>
  <c r="AX339" i="13"/>
  <c r="A438" i="13"/>
  <c r="K48" i="69" a="1"/>
  <c r="K48" i="69" s="1"/>
  <c r="L48" i="69"/>
  <c r="BE14" i="4"/>
  <c r="AV511" i="13"/>
  <c r="BI14" i="4"/>
  <c r="A440" i="13"/>
  <c r="AX341" i="13"/>
  <c r="AX39" i="69"/>
  <c r="A429" i="13"/>
  <c r="AX330" i="13"/>
  <c r="AQ33" i="69" a="1"/>
  <c r="AQ33" i="69" s="1"/>
  <c r="K74" i="69" a="1"/>
  <c r="K74" i="69" s="1"/>
  <c r="L74" i="69"/>
  <c r="AQ83" i="69" a="1"/>
  <c r="AQ83" i="69" s="1"/>
  <c r="A433" i="13"/>
  <c r="AX334" i="13"/>
  <c r="BF75" i="69" a="1"/>
  <c r="BF75" i="69" s="1"/>
  <c r="BM93" i="69"/>
  <c r="BM89" i="69"/>
  <c r="AV562" i="13"/>
  <c r="BI65" i="4"/>
  <c r="BE65" i="4"/>
  <c r="U65" i="4"/>
  <c r="BO65" i="4"/>
  <c r="K11" i="69" a="1"/>
  <c r="K11" i="69" s="1"/>
  <c r="L11" i="69"/>
  <c r="BM66" i="69"/>
  <c r="BM95" i="69"/>
  <c r="AX46" i="69"/>
  <c r="BE64" i="4"/>
  <c r="BI64" i="4"/>
  <c r="AV561" i="13"/>
  <c r="AR80" i="4"/>
  <c r="AQ80" i="4" a="1"/>
  <c r="AQ80" i="4" s="1"/>
  <c r="H80" i="69" s="1"/>
  <c r="V80" i="4"/>
  <c r="AS80" i="4" a="1"/>
  <c r="AS80" i="4" s="1"/>
  <c r="C80" i="69" s="1"/>
  <c r="D80" i="69" s="1" a="1"/>
  <c r="D80" i="69" s="1"/>
  <c r="BN80" i="4"/>
  <c r="CU80" i="4"/>
  <c r="CV80" i="4" s="1"/>
  <c r="AE78" i="69" a="1"/>
  <c r="AE78" i="69" s="1"/>
  <c r="BF78" i="69" s="1" a="1"/>
  <c r="BF78" i="69" s="1"/>
  <c r="BK70" i="69"/>
  <c r="AA60" i="4"/>
  <c r="F60" i="69" s="1"/>
  <c r="O92" i="69"/>
  <c r="BC92" i="69"/>
  <c r="AV1241" i="13"/>
  <c r="B51" i="69"/>
  <c r="BG13" i="69"/>
  <c r="AW13" i="69"/>
  <c r="AX13" i="69"/>
  <c r="I297" i="15" a="1"/>
  <c r="I297" i="15" s="1"/>
  <c r="H297" i="15" a="1"/>
  <c r="H297" i="15" s="1"/>
  <c r="AV1270" i="13"/>
  <c r="B80" i="69"/>
  <c r="BC36" i="69"/>
  <c r="O23" i="69"/>
  <c r="B76" i="69"/>
  <c r="AV1266" i="13"/>
  <c r="AV1282" i="13"/>
  <c r="B92" i="69"/>
  <c r="AV1227" i="13"/>
  <c r="B37" i="69"/>
  <c r="AX15" i="69"/>
  <c r="AW15" i="69"/>
  <c r="BG15" i="69"/>
  <c r="AV1244" i="13"/>
  <c r="B54" i="69"/>
  <c r="BG36" i="69"/>
  <c r="G10" i="69"/>
  <c r="AO3" i="69" a="1"/>
  <c r="AO3" i="69" s="1"/>
  <c r="AS3" i="69" a="1"/>
  <c r="AS3" i="69" s="1"/>
  <c r="AI3" i="69" a="1"/>
  <c r="AI3" i="69" s="1"/>
  <c r="AR3" i="69" a="1"/>
  <c r="AR3" i="69" s="1"/>
  <c r="AN3" i="69" a="1"/>
  <c r="AN3" i="69" s="1"/>
  <c r="AM3" i="69" a="1"/>
  <c r="AM3" i="69" s="1"/>
  <c r="AG3" i="69" a="1"/>
  <c r="AG3" i="69" s="1"/>
  <c r="AP3" i="69" a="1"/>
  <c r="AP3" i="69" s="1"/>
  <c r="O90" i="69"/>
  <c r="BC90" i="69"/>
  <c r="G55" i="15"/>
  <c r="I55" i="15" a="1"/>
  <c r="I55" i="15" s="1"/>
  <c r="H55" i="15" a="1"/>
  <c r="H55" i="15" s="1"/>
  <c r="AW7" i="69"/>
  <c r="AX7" i="69"/>
  <c r="BG7" i="69"/>
  <c r="G13" i="69"/>
  <c r="BC24" i="69"/>
  <c r="O24" i="69"/>
  <c r="BC18" i="69"/>
  <c r="O18" i="69"/>
  <c r="AV1094" i="13"/>
  <c r="AL33" i="69" a="1"/>
  <c r="AL33" i="69" s="1"/>
  <c r="AG33" i="69" a="1"/>
  <c r="AG33" i="69" s="1"/>
  <c r="AM33" i="69" a="1"/>
  <c r="AM33" i="69" s="1"/>
  <c r="AR33" i="69" a="1"/>
  <c r="AR33" i="69" s="1"/>
  <c r="AS33" i="69" a="1"/>
  <c r="AS33" i="69" s="1"/>
  <c r="AI33" i="69" a="1"/>
  <c r="AI33" i="69" s="1"/>
  <c r="AO33" i="69" a="1"/>
  <c r="AO33" i="69" s="1"/>
  <c r="AN33" i="69" a="1"/>
  <c r="AN33" i="69" s="1"/>
  <c r="AP33" i="69" a="1"/>
  <c r="AP33" i="69" s="1"/>
  <c r="U9" i="4"/>
  <c r="AV1230" i="13"/>
  <c r="B40" i="69"/>
  <c r="AV1261" i="13"/>
  <c r="B71" i="69"/>
  <c r="H462" i="15" a="1"/>
  <c r="H462" i="15" s="1"/>
  <c r="I462" i="15" a="1"/>
  <c r="I462" i="15" s="1"/>
  <c r="AX44" i="69"/>
  <c r="CW21" i="4" a="1"/>
  <c r="CW21" i="4" s="1"/>
  <c r="J21" i="4"/>
  <c r="AV23" i="13"/>
  <c r="AT21" i="4"/>
  <c r="F21" i="4"/>
  <c r="Z1310" i="13"/>
  <c r="AV21" i="4"/>
  <c r="AM21" i="4"/>
  <c r="AV320" i="13" s="1"/>
  <c r="AV419" i="13" s="1"/>
  <c r="W34" i="22"/>
  <c r="Y34" i="22" s="1"/>
  <c r="AZ21" i="69"/>
  <c r="AC21" i="69"/>
  <c r="V34" i="22"/>
  <c r="BC85" i="69"/>
  <c r="O85" i="69"/>
  <c r="AV1258" i="13"/>
  <c r="B68" i="69"/>
  <c r="AX38" i="69"/>
  <c r="AX48" i="69"/>
  <c r="AV1231" i="13"/>
  <c r="B41" i="69"/>
  <c r="AX221" i="13"/>
  <c r="A320" i="13"/>
  <c r="AV589" i="13"/>
  <c r="BE92" i="4"/>
  <c r="BI92" i="4"/>
  <c r="I349" i="15" a="1"/>
  <c r="I349" i="15" s="1"/>
  <c r="H349" i="15" a="1"/>
  <c r="H349" i="15" s="1"/>
  <c r="AX355" i="13"/>
  <c r="A454" i="13"/>
  <c r="O82" i="69"/>
  <c r="BC82" i="69"/>
  <c r="AX95" i="69"/>
  <c r="AW95" i="69"/>
  <c r="AX74" i="69"/>
  <c r="AX387" i="13"/>
  <c r="A486" i="13"/>
  <c r="AE9" i="69" a="1"/>
  <c r="AE9" i="69" s="1"/>
  <c r="BK7" i="69"/>
  <c r="AS7" i="4" a="1"/>
  <c r="AS7" i="4" s="1"/>
  <c r="C7" i="69" s="1"/>
  <c r="D7" i="69" s="1" a="1"/>
  <c r="D7" i="69" s="1"/>
  <c r="AR7" i="4"/>
  <c r="V7" i="4"/>
  <c r="AQ7" i="4" a="1"/>
  <c r="AQ7" i="4" s="1"/>
  <c r="H7" i="69" s="1"/>
  <c r="BN7" i="4"/>
  <c r="AL14" i="69" a="1"/>
  <c r="AL14" i="69" s="1"/>
  <c r="BM92" i="69"/>
  <c r="JR36" i="18"/>
  <c r="BM87" i="69"/>
  <c r="BM77" i="69"/>
  <c r="AL77" i="69" a="1"/>
  <c r="AL77" i="69" s="1"/>
  <c r="BH62" i="69"/>
  <c r="BJ62" i="69" s="1"/>
  <c r="AV62" i="69"/>
  <c r="AY62" i="69"/>
  <c r="E62" i="69"/>
  <c r="R62" i="69"/>
  <c r="BI62" i="69" a="1"/>
  <c r="BI62" i="69" s="1"/>
  <c r="BL62" i="69"/>
  <c r="BE62" i="69" a="1"/>
  <c r="BE62" i="69" s="1"/>
  <c r="L84" i="69"/>
  <c r="D58" i="14"/>
  <c r="B58" i="14"/>
  <c r="C58" i="14"/>
  <c r="E58" i="14" s="1"/>
  <c r="H36" i="14" s="1"/>
  <c r="AV85" i="69"/>
  <c r="AY85" i="69"/>
  <c r="AN85" i="69" s="1" a="1"/>
  <c r="AN85" i="69" s="1"/>
  <c r="R85" i="69"/>
  <c r="BE85" i="69" a="1"/>
  <c r="BE85" i="69" s="1"/>
  <c r="BL85" i="69"/>
  <c r="E85" i="69"/>
  <c r="BI85" i="69" a="1"/>
  <c r="BI85" i="69" s="1"/>
  <c r="BH85" i="69"/>
  <c r="BJ85" i="69" s="1"/>
  <c r="AH85" i="69" a="1"/>
  <c r="AH85" i="69" s="1"/>
  <c r="BF85" i="69" a="1"/>
  <c r="BF85" i="69" s="1"/>
  <c r="AX87" i="69"/>
  <c r="AW87" i="69"/>
  <c r="N475" i="15" a="1"/>
  <c r="N475" i="15" s="1"/>
  <c r="M475" i="15" a="1"/>
  <c r="M475" i="15" s="1"/>
  <c r="L475" i="15" a="1"/>
  <c r="L475" i="15" s="1"/>
  <c r="K475" i="15" a="1"/>
  <c r="K475" i="15" s="1"/>
  <c r="A443" i="13"/>
  <c r="AX344" i="13"/>
  <c r="AL17" i="69" a="1"/>
  <c r="AL17" i="69" s="1"/>
  <c r="AR69" i="4"/>
  <c r="V69" i="4"/>
  <c r="AS69" i="4" a="1"/>
  <c r="AS69" i="4" s="1"/>
  <c r="C69" i="69" s="1"/>
  <c r="D69" i="69" s="1" a="1"/>
  <c r="D69" i="69" s="1"/>
  <c r="AQ69" i="4" a="1"/>
  <c r="AQ69" i="4" s="1"/>
  <c r="H69" i="69" s="1"/>
  <c r="BN69" i="4"/>
  <c r="BX38" i="4"/>
  <c r="V38" i="4"/>
  <c r="AR38" i="4"/>
  <c r="AS38" i="4" a="1"/>
  <c r="AS38" i="4" s="1"/>
  <c r="C38" i="69" s="1"/>
  <c r="D38" i="69" s="1" a="1"/>
  <c r="D38" i="69" s="1"/>
  <c r="AQ38" i="4" a="1"/>
  <c r="AQ38" i="4" s="1"/>
  <c r="H38" i="69" s="1"/>
  <c r="BN38" i="4"/>
  <c r="BX47" i="4"/>
  <c r="AS47" i="4" a="1"/>
  <c r="AS47" i="4" s="1"/>
  <c r="C47" i="69" s="1"/>
  <c r="D47" i="69" s="1" a="1"/>
  <c r="D47" i="69" s="1"/>
  <c r="AQ47" i="4" a="1"/>
  <c r="AQ47" i="4" s="1"/>
  <c r="H47" i="69" s="1"/>
  <c r="AR47" i="4"/>
  <c r="V47" i="4"/>
  <c r="BN47" i="4"/>
  <c r="K23" i="69" a="1"/>
  <c r="K23" i="69" s="1"/>
  <c r="L23" i="69"/>
  <c r="AX311" i="13"/>
  <c r="A410" i="13"/>
  <c r="AS70" i="4" a="1"/>
  <c r="AS70" i="4" s="1"/>
  <c r="C70" i="69" s="1"/>
  <c r="D70" i="69" s="1" a="1"/>
  <c r="D70" i="69" s="1"/>
  <c r="AQ70" i="4" a="1"/>
  <c r="AQ70" i="4" s="1"/>
  <c r="H70" i="69" s="1"/>
  <c r="AR70" i="4"/>
  <c r="V70" i="4"/>
  <c r="BN70" i="4"/>
  <c r="CU70" i="4"/>
  <c r="CV70" i="4" s="1"/>
  <c r="BK58" i="69"/>
  <c r="K59" i="69" a="1"/>
  <c r="K59" i="69" s="1"/>
  <c r="L59" i="69"/>
  <c r="BX16" i="4"/>
  <c r="BG37" i="69"/>
  <c r="A451" i="13"/>
  <c r="AX352" i="13"/>
  <c r="AX364" i="13"/>
  <c r="A463" i="13"/>
  <c r="AO50" i="69" a="1"/>
  <c r="AO50" i="69" s="1"/>
  <c r="AR50" i="69" a="1"/>
  <c r="AR50" i="69" s="1"/>
  <c r="AN50" i="69" a="1"/>
  <c r="AN50" i="69" s="1"/>
  <c r="AG50" i="69" a="1"/>
  <c r="AG50" i="69" s="1"/>
  <c r="AI50" i="69" a="1"/>
  <c r="AI50" i="69" s="1"/>
  <c r="AS50" i="69" a="1"/>
  <c r="AS50" i="69" s="1"/>
  <c r="AM50" i="69" a="1"/>
  <c r="AM50" i="69" s="1"/>
  <c r="AP50" i="69" a="1"/>
  <c r="AP50" i="69" s="1"/>
  <c r="A417" i="13"/>
  <c r="AX318" i="13"/>
  <c r="AX350" i="13"/>
  <c r="A449" i="13"/>
  <c r="AL7" i="69" a="1"/>
  <c r="AL7" i="69" s="1"/>
  <c r="BX14" i="4"/>
  <c r="V14" i="4"/>
  <c r="AS14" i="4" a="1"/>
  <c r="AS14" i="4" s="1"/>
  <c r="C14" i="69" s="1"/>
  <c r="D14" i="69" s="1" a="1"/>
  <c r="D14" i="69" s="1"/>
  <c r="AR14" i="4"/>
  <c r="AQ14" i="4" a="1"/>
  <c r="AQ14" i="4" s="1"/>
  <c r="H14" i="69" s="1"/>
  <c r="BN14" i="4"/>
  <c r="CU14" i="4"/>
  <c r="CV14" i="4" s="1"/>
  <c r="K50" i="69" a="1"/>
  <c r="K50" i="69" s="1"/>
  <c r="L50" i="69"/>
  <c r="A753" i="13"/>
  <c r="AX654" i="13"/>
  <c r="BX76" i="4"/>
  <c r="A461" i="13"/>
  <c r="AX362" i="13"/>
  <c r="BO91" i="4"/>
  <c r="AH75" i="69" a="1"/>
  <c r="AH75" i="69" s="1"/>
  <c r="AE67" i="69" a="1"/>
  <c r="AE67" i="69" s="1"/>
  <c r="BF67" i="69" s="1" a="1"/>
  <c r="BF67" i="69" s="1"/>
  <c r="BI88" i="4"/>
  <c r="AV585" i="13"/>
  <c r="BE88" i="4"/>
  <c r="BM63" i="69"/>
  <c r="AZ80" i="69"/>
  <c r="AE93" i="69" a="1"/>
  <c r="AE93" i="69" s="1"/>
  <c r="AL93" i="69" s="1" a="1"/>
  <c r="AL93" i="69" s="1"/>
  <c r="AV523" i="13"/>
  <c r="BI26" i="4"/>
  <c r="BE26" i="4"/>
  <c r="BO41" i="4"/>
  <c r="BI41" i="4"/>
  <c r="BE41" i="4"/>
  <c r="AV538" i="13"/>
  <c r="AZ63" i="69"/>
  <c r="BF18" i="69" a="1"/>
  <c r="BF18" i="69" s="1"/>
  <c r="BD55" i="4"/>
  <c r="AV1146" i="13" s="1"/>
  <c r="B3" i="69"/>
  <c r="AV1193" i="13"/>
  <c r="BK17" i="69"/>
  <c r="AX17" i="69"/>
  <c r="BG17" i="69"/>
  <c r="AW17" i="69"/>
  <c r="H311" i="15" a="1"/>
  <c r="H311" i="15" s="1"/>
  <c r="I311" i="15" a="1"/>
  <c r="I311" i="15" s="1"/>
  <c r="B64" i="69"/>
  <c r="AV1254" i="13"/>
  <c r="BC33" i="69"/>
  <c r="O33" i="69"/>
  <c r="AV1220" i="13"/>
  <c r="B30" i="69"/>
  <c r="AN45" i="69" a="1"/>
  <c r="AN45" i="69" s="1"/>
  <c r="BC89" i="69"/>
  <c r="O89" i="69"/>
  <c r="AV1212" i="13"/>
  <c r="B22" i="69"/>
  <c r="AV1242" i="13"/>
  <c r="B52" i="69"/>
  <c r="I172" i="15" a="1"/>
  <c r="I172" i="15" s="1"/>
  <c r="H172" i="15" a="1"/>
  <c r="H172" i="15" s="1"/>
  <c r="AV1260" i="13"/>
  <c r="B70" i="69"/>
  <c r="AV1272" i="13"/>
  <c r="B82" i="69"/>
  <c r="AE54" i="69" a="1"/>
  <c r="AE54" i="69" s="1"/>
  <c r="O9" i="69"/>
  <c r="BX71" i="4"/>
  <c r="I423" i="15" a="1"/>
  <c r="I423" i="15" s="1"/>
  <c r="H423" i="15" a="1"/>
  <c r="H423" i="15" s="1"/>
  <c r="AI82" i="69" a="1"/>
  <c r="AI82" i="69" s="1"/>
  <c r="AM82" i="69" a="1"/>
  <c r="AM82" i="69" s="1"/>
  <c r="AS82" i="69" a="1"/>
  <c r="AS82" i="69" s="1"/>
  <c r="AR82" i="69" a="1"/>
  <c r="AR82" i="69" s="1"/>
  <c r="AP82" i="69" a="1"/>
  <c r="AP82" i="69" s="1"/>
  <c r="K35" i="69" a="1"/>
  <c r="K35" i="69" s="1"/>
  <c r="L35" i="69"/>
  <c r="K73" i="69" a="1"/>
  <c r="K73" i="69" s="1"/>
  <c r="L73" i="69"/>
  <c r="BI3" i="4"/>
  <c r="AV500" i="13"/>
  <c r="BE3" i="4"/>
  <c r="BO19" i="4"/>
  <c r="BI19" i="4"/>
  <c r="AV516" i="13"/>
  <c r="BE19" i="4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CU86" i="4"/>
  <c r="CV86" i="4" s="1"/>
  <c r="BN86" i="4"/>
  <c r="BX51" i="4"/>
  <c r="B15" i="27" a="1"/>
  <c r="B15" i="27" s="1"/>
  <c r="A423" i="13"/>
  <c r="AX324" i="13"/>
  <c r="K6" i="69" a="1"/>
  <c r="K6" i="69" s="1"/>
  <c r="L6" i="69"/>
  <c r="AR62" i="4"/>
  <c r="AS62" i="4" a="1"/>
  <c r="AS62" i="4" s="1"/>
  <c r="C62" i="69" s="1"/>
  <c r="D62" i="69" s="1" a="1"/>
  <c r="D62" i="69" s="1"/>
  <c r="V62" i="4"/>
  <c r="AQ62" i="4" a="1"/>
  <c r="AQ62" i="4" s="1"/>
  <c r="H62" i="69" s="1"/>
  <c r="CU62" i="4"/>
  <c r="CV62" i="4" s="1"/>
  <c r="BN62" i="4"/>
  <c r="BX15" i="4"/>
  <c r="AS15" i="4" a="1"/>
  <c r="AS15" i="4" s="1"/>
  <c r="C15" i="69" s="1"/>
  <c r="D15" i="69" s="1" a="1"/>
  <c r="D15" i="69" s="1"/>
  <c r="V15" i="4"/>
  <c r="AR15" i="4"/>
  <c r="AQ15" i="4" a="1"/>
  <c r="AQ15" i="4" s="1"/>
  <c r="H15" i="69" s="1"/>
  <c r="BN15" i="4"/>
  <c r="AQ34" i="69" a="1"/>
  <c r="AQ34" i="69" s="1"/>
  <c r="AV521" i="13"/>
  <c r="BI24" i="4"/>
  <c r="BE24" i="4"/>
  <c r="I482" i="15" a="1"/>
  <c r="I482" i="15" s="1"/>
  <c r="H482" i="15" a="1"/>
  <c r="H482" i="15" s="1"/>
  <c r="H480" i="15" a="1"/>
  <c r="H480" i="15" s="1"/>
  <c r="I480" i="15" a="1"/>
  <c r="I480" i="15" s="1"/>
  <c r="I391" i="15" a="1"/>
  <c r="I391" i="15" s="1"/>
  <c r="H391" i="15" a="1"/>
  <c r="H391" i="15" s="1"/>
  <c r="H282" i="15" a="1"/>
  <c r="H282" i="15" s="1"/>
  <c r="I282" i="15" a="1"/>
  <c r="I282" i="15" s="1"/>
  <c r="BM76" i="69"/>
  <c r="AL76" i="69" a="1"/>
  <c r="AL76" i="69" s="1"/>
  <c r="BI58" i="69" a="1"/>
  <c r="BI58" i="69" s="1"/>
  <c r="AY58" i="69"/>
  <c r="AO58" i="69" s="1" a="1"/>
  <c r="AO58" i="69" s="1"/>
  <c r="R58" i="69"/>
  <c r="E58" i="69"/>
  <c r="BH58" i="69"/>
  <c r="BJ58" i="69" s="1"/>
  <c r="BL58" i="69"/>
  <c r="BE58" i="69" a="1"/>
  <c r="BE58" i="69" s="1"/>
  <c r="BF58" i="69" a="1"/>
  <c r="BF58" i="69" s="1"/>
  <c r="AH58" i="69" a="1"/>
  <c r="AH58" i="69" s="1"/>
  <c r="AZ58" i="69"/>
  <c r="BC57" i="69"/>
  <c r="F341" i="15" a="1"/>
  <c r="F341" i="15" s="1"/>
  <c r="BM83" i="69"/>
  <c r="AL83" i="69" a="1"/>
  <c r="AL83" i="69" s="1"/>
  <c r="AQ87" i="69" a="1"/>
  <c r="AQ87" i="69" s="1"/>
  <c r="BK93" i="69"/>
  <c r="AW93" i="69"/>
  <c r="AX93" i="69"/>
  <c r="BG93" i="69"/>
  <c r="BG34" i="69"/>
  <c r="BC70" i="69"/>
  <c r="AE63" i="69" a="1"/>
  <c r="AE63" i="69" s="1"/>
  <c r="AL63" i="69" s="1" a="1"/>
  <c r="AL63" i="69" s="1"/>
  <c r="BL69" i="69"/>
  <c r="H420" i="15" a="1"/>
  <c r="H420" i="15" s="1"/>
  <c r="I420" i="15" a="1"/>
  <c r="I420" i="15" s="1"/>
  <c r="AX47" i="69"/>
  <c r="AE42" i="69" a="1"/>
  <c r="AE42" i="69" s="1"/>
  <c r="BO29" i="4"/>
  <c r="BE29" i="4"/>
  <c r="BI29" i="4"/>
  <c r="AV526" i="13"/>
  <c r="BE82" i="4"/>
  <c r="BI82" i="4"/>
  <c r="AV579" i="13"/>
  <c r="H247" i="15" a="1"/>
  <c r="H247" i="15" s="1"/>
  <c r="I247" i="15" a="1"/>
  <c r="I247" i="15" s="1"/>
  <c r="BX87" i="4"/>
  <c r="BK13" i="69"/>
  <c r="AX307" i="13"/>
  <c r="A406" i="13"/>
  <c r="BF3" i="69" a="1"/>
  <c r="BF3" i="69" s="1"/>
  <c r="K85" i="69" a="1"/>
  <c r="K85" i="69" s="1"/>
  <c r="L85" i="69"/>
  <c r="A460" i="13"/>
  <c r="AX361" i="13"/>
  <c r="BM81" i="69"/>
  <c r="BM61" i="69"/>
  <c r="AQ14" i="69" a="1"/>
  <c r="AQ14" i="69" s="1"/>
  <c r="H195" i="15" a="1"/>
  <c r="H195" i="15" s="1"/>
  <c r="I195" i="15" a="1"/>
  <c r="I195" i="15" s="1"/>
  <c r="AX347" i="13"/>
  <c r="A446" i="13"/>
  <c r="AX392" i="13"/>
  <c r="A491" i="13"/>
  <c r="K76" i="69" a="1"/>
  <c r="K76" i="69" s="1"/>
  <c r="L76" i="69"/>
  <c r="BX89" i="4"/>
  <c r="AR89" i="4"/>
  <c r="AS89" i="4" a="1"/>
  <c r="AS89" i="4" s="1"/>
  <c r="C89" i="69" s="1"/>
  <c r="D89" i="69" s="1" a="1"/>
  <c r="D89" i="69" s="1"/>
  <c r="V89" i="4"/>
  <c r="AQ89" i="4" a="1"/>
  <c r="AQ89" i="4" s="1"/>
  <c r="H89" i="69" s="1"/>
  <c r="BN89" i="4"/>
  <c r="AQ44" i="69" a="1"/>
  <c r="AQ44" i="69" s="1"/>
  <c r="AL13" i="69" a="1"/>
  <c r="AL13" i="69" s="1"/>
  <c r="CU26" i="4"/>
  <c r="CV26" i="4" s="1"/>
  <c r="AS26" i="4" a="1"/>
  <c r="AS26" i="4" s="1"/>
  <c r="C26" i="69" s="1"/>
  <c r="D26" i="69" s="1" a="1"/>
  <c r="D26" i="69" s="1"/>
  <c r="AR26" i="4"/>
  <c r="V26" i="4"/>
  <c r="AQ26" i="4" a="1"/>
  <c r="AQ26" i="4" s="1"/>
  <c r="H26" i="69" s="1"/>
  <c r="BN26" i="4"/>
  <c r="BI46" i="4"/>
  <c r="BE46" i="4"/>
  <c r="AV543" i="13"/>
  <c r="BI18" i="4"/>
  <c r="AV515" i="13"/>
  <c r="BE18" i="4"/>
  <c r="K80" i="69" a="1"/>
  <c r="K80" i="69" s="1"/>
  <c r="L80" i="69"/>
  <c r="AZ66" i="69"/>
  <c r="AZ87" i="69"/>
  <c r="AI60" i="4"/>
  <c r="I60" i="69" s="1"/>
  <c r="AV1237" i="13"/>
  <c r="B47" i="69"/>
  <c r="BC49" i="69"/>
  <c r="O49" i="69"/>
  <c r="I338" i="15" a="1"/>
  <c r="I338" i="15" s="1"/>
  <c r="H338" i="15" a="1"/>
  <c r="H338" i="15" s="1"/>
  <c r="H305" i="15" a="1"/>
  <c r="H305" i="15" s="1"/>
  <c r="I305" i="15" a="1"/>
  <c r="I305" i="15" s="1"/>
  <c r="O43" i="69"/>
  <c r="BC43" i="69"/>
  <c r="BC45" i="69"/>
  <c r="O45" i="69"/>
  <c r="AV1279" i="13"/>
  <c r="B89" i="69"/>
  <c r="I200" i="15" a="1"/>
  <c r="I200" i="15" s="1"/>
  <c r="H200" i="15" a="1"/>
  <c r="H200" i="15" s="1"/>
  <c r="I479" i="15" a="1"/>
  <c r="I479" i="15" s="1"/>
  <c r="H479" i="15" a="1"/>
  <c r="H479" i="15" s="1"/>
  <c r="O38" i="69"/>
  <c r="BC38" i="69"/>
  <c r="BC16" i="69"/>
  <c r="O16" i="69"/>
  <c r="AX371" i="13"/>
  <c r="A470" i="13"/>
  <c r="AX385" i="13"/>
  <c r="A484" i="13"/>
  <c r="BX66" i="4"/>
  <c r="AX340" i="13"/>
  <c r="A439" i="13"/>
  <c r="BF79" i="69" a="1"/>
  <c r="BF79" i="69" s="1"/>
  <c r="AS79" i="69" a="1"/>
  <c r="AS79" i="69" s="1"/>
  <c r="AI79" i="69" a="1"/>
  <c r="AI79" i="69" s="1"/>
  <c r="AR79" i="69" a="1"/>
  <c r="AR79" i="69" s="1"/>
  <c r="AN79" i="69" a="1"/>
  <c r="AN79" i="69" s="1"/>
  <c r="AO79" i="69" a="1"/>
  <c r="AO79" i="69" s="1"/>
  <c r="AM79" i="69" a="1"/>
  <c r="AM79" i="69" s="1"/>
  <c r="AP79" i="69" a="1"/>
  <c r="AP79" i="69" s="1"/>
  <c r="AX317" i="13"/>
  <c r="A416" i="13"/>
  <c r="K3" i="69" a="1"/>
  <c r="K3" i="69" s="1"/>
  <c r="L3" i="69"/>
  <c r="K19" i="69" a="1"/>
  <c r="K19" i="69" s="1"/>
  <c r="L19" i="69"/>
  <c r="AV548" i="13"/>
  <c r="BE51" i="4"/>
  <c r="BI51" i="4"/>
  <c r="E18" i="27"/>
  <c r="U6" i="4"/>
  <c r="AV503" i="13"/>
  <c r="BE6" i="4"/>
  <c r="BI6" i="4"/>
  <c r="BK15" i="69"/>
  <c r="BI10" i="4"/>
  <c r="BE10" i="4"/>
  <c r="AV507" i="13"/>
  <c r="AE5" i="69" a="1"/>
  <c r="AE5" i="69" s="1"/>
  <c r="AQ64" i="69" a="1"/>
  <c r="AQ64" i="69" s="1"/>
  <c r="B54" i="23"/>
  <c r="P44" i="23"/>
  <c r="Z44" i="23" s="1"/>
  <c r="H433" i="15" a="1"/>
  <c r="H433" i="15" s="1"/>
  <c r="I433" i="15" a="1"/>
  <c r="I433" i="15" s="1"/>
  <c r="BI57" i="69" a="1"/>
  <c r="BI57" i="69" s="1"/>
  <c r="AY57" i="69"/>
  <c r="AO57" i="69" s="1" a="1"/>
  <c r="AO57" i="69" s="1"/>
  <c r="BL57" i="69"/>
  <c r="E57" i="69"/>
  <c r="R57" i="69"/>
  <c r="BH57" i="69"/>
  <c r="BJ57" i="69" s="1"/>
  <c r="AV57" i="69"/>
  <c r="BE57" i="69" a="1"/>
  <c r="BE57" i="69" s="1"/>
  <c r="BF57" i="69" a="1"/>
  <c r="BF57" i="69" s="1"/>
  <c r="AW65" i="69"/>
  <c r="AX65" i="69"/>
  <c r="B73" i="69"/>
  <c r="I164" i="15" a="1"/>
  <c r="I164" i="15" s="1"/>
  <c r="H164" i="15" a="1"/>
  <c r="H164" i="15" s="1"/>
  <c r="L482" i="15" a="1"/>
  <c r="L482" i="15" s="1"/>
  <c r="M482" i="15" a="1"/>
  <c r="M482" i="15" s="1"/>
  <c r="N482" i="15" a="1"/>
  <c r="N482" i="15" s="1"/>
  <c r="K482" i="15" a="1"/>
  <c r="K482" i="15" s="1"/>
  <c r="L481" i="15" a="1"/>
  <c r="L481" i="15" s="1"/>
  <c r="N481" i="15" a="1"/>
  <c r="N481" i="15" s="1"/>
  <c r="M481" i="15" a="1"/>
  <c r="M481" i="15" s="1"/>
  <c r="K481" i="15" a="1"/>
  <c r="K481" i="15" s="1"/>
  <c r="BM74" i="69"/>
  <c r="AL74" i="69" a="1"/>
  <c r="AL74" i="69" s="1"/>
  <c r="BL81" i="69"/>
  <c r="R81" i="69"/>
  <c r="E81" i="69"/>
  <c r="AV81" i="69"/>
  <c r="BH81" i="69"/>
  <c r="BJ81" i="69" s="1"/>
  <c r="BI81" i="69" a="1"/>
  <c r="BI81" i="69" s="1"/>
  <c r="AY81" i="69"/>
  <c r="BE81" i="69" a="1"/>
  <c r="BE81" i="69" s="1"/>
  <c r="BK95" i="69"/>
  <c r="AL82" i="69" a="1"/>
  <c r="AL82" i="69" s="1"/>
  <c r="BM82" i="69"/>
  <c r="AE64" i="69" a="1"/>
  <c r="AE64" i="69" s="1"/>
  <c r="BO22" i="4"/>
  <c r="BI22" i="4"/>
  <c r="AV519" i="13"/>
  <c r="BE22" i="4"/>
  <c r="A471" i="13"/>
  <c r="AX372" i="13"/>
  <c r="BO69" i="4"/>
  <c r="AV566" i="13"/>
  <c r="BE69" i="4"/>
  <c r="BI69" i="4"/>
  <c r="A466" i="13"/>
  <c r="AX367" i="13"/>
  <c r="O61" i="69"/>
  <c r="AX322" i="13"/>
  <c r="A421" i="13"/>
  <c r="BO87" i="4"/>
  <c r="AV584" i="13"/>
  <c r="BI87" i="4"/>
  <c r="BE87" i="4"/>
  <c r="U57" i="4"/>
  <c r="AV554" i="13"/>
  <c r="BI57" i="4"/>
  <c r="BE57" i="4"/>
  <c r="AH3" i="69" a="1"/>
  <c r="AH3" i="69" s="1"/>
  <c r="AX37" i="69"/>
  <c r="AX321" i="13"/>
  <c r="A420" i="13"/>
  <c r="L78" i="69"/>
  <c r="BL60" i="69"/>
  <c r="AZ59" i="69"/>
  <c r="AX325" i="13"/>
  <c r="A424" i="13"/>
  <c r="AQ42" i="69" a="1"/>
  <c r="AQ42" i="69" s="1"/>
  <c r="BX63" i="4"/>
  <c r="U61" i="4"/>
  <c r="BE61" i="4"/>
  <c r="AV558" i="13"/>
  <c r="BI61" i="4"/>
  <c r="A428" i="13"/>
  <c r="AX329" i="13"/>
  <c r="AQ74" i="69" a="1"/>
  <c r="AQ74" i="69" s="1"/>
  <c r="AW62" i="69"/>
  <c r="BG42" i="69"/>
  <c r="BX8" i="4"/>
  <c r="H328" i="15" a="1"/>
  <c r="H328" i="15" s="1"/>
  <c r="I328" i="15" a="1"/>
  <c r="I328" i="15" s="1"/>
  <c r="R75" i="69"/>
  <c r="K17" i="69" a="1"/>
  <c r="K17" i="69" s="1"/>
  <c r="L17" i="69"/>
  <c r="AQ11" i="69" a="1"/>
  <c r="AQ11" i="69" s="1"/>
  <c r="AX384" i="13"/>
  <c r="A483" i="13"/>
  <c r="AQ70" i="69" a="1"/>
  <c r="AQ70" i="69" s="1"/>
  <c r="AV58" i="69"/>
  <c r="BG40" i="69"/>
  <c r="K64" i="69" a="1"/>
  <c r="K64" i="69" s="1"/>
  <c r="L64" i="69"/>
  <c r="K18" i="69" a="1"/>
  <c r="K18" i="69" s="1"/>
  <c r="L18" i="69"/>
  <c r="BX41" i="4"/>
  <c r="AR41" i="4"/>
  <c r="V41" i="4"/>
  <c r="AS41" i="4" a="1"/>
  <c r="AS41" i="4" s="1"/>
  <c r="C41" i="69" s="1"/>
  <c r="D41" i="69" s="1" a="1"/>
  <c r="D41" i="69" s="1"/>
  <c r="AQ41" i="4" a="1"/>
  <c r="AQ41" i="4" s="1"/>
  <c r="H41" i="69" s="1"/>
  <c r="BN41" i="4"/>
  <c r="BI80" i="4"/>
  <c r="BE80" i="4"/>
  <c r="AV577" i="13"/>
  <c r="AQ91" i="69" a="1"/>
  <c r="AQ91" i="69" s="1"/>
  <c r="BT55" i="4"/>
  <c r="AV1219" i="13"/>
  <c r="B29" i="69"/>
  <c r="AO10" i="69" a="1"/>
  <c r="AO10" i="69" s="1"/>
  <c r="AG10" i="69" a="1"/>
  <c r="AG10" i="69" s="1"/>
  <c r="AN10" i="69" a="1"/>
  <c r="AN10" i="69" s="1"/>
  <c r="AR10" i="69" a="1"/>
  <c r="AR10" i="69" s="1"/>
  <c r="AM10" i="69" a="1"/>
  <c r="AM10" i="69" s="1"/>
  <c r="AS10" i="69" a="1"/>
  <c r="AS10" i="69" s="1"/>
  <c r="AI10" i="69" a="1"/>
  <c r="AI10" i="69" s="1"/>
  <c r="AP10" i="69" a="1"/>
  <c r="AP10" i="69" s="1"/>
  <c r="BF10" i="69" a="1"/>
  <c r="BF10" i="69" s="1"/>
  <c r="AH10" i="69" a="1"/>
  <c r="AH10" i="69" s="1"/>
  <c r="BC201" i="4"/>
  <c r="Z1763" i="13"/>
  <c r="O20" i="69"/>
  <c r="BC20" i="69"/>
  <c r="AV1255" i="13"/>
  <c r="B65" i="69"/>
  <c r="AV1239" i="13"/>
  <c r="B49" i="69"/>
  <c r="I469" i="15" a="1"/>
  <c r="I469" i="15" s="1"/>
  <c r="H469" i="15" a="1"/>
  <c r="H469" i="15" s="1"/>
  <c r="O30" i="69"/>
  <c r="BC30" i="69"/>
  <c r="O63" i="69"/>
  <c r="BC63" i="69"/>
  <c r="G3" i="69"/>
  <c r="AH23" i="69" a="1"/>
  <c r="AH23" i="69" s="1"/>
  <c r="A434" i="13"/>
  <c r="AX335" i="13"/>
  <c r="AV1273" i="13"/>
  <c r="B83" i="69"/>
  <c r="AX12" i="69"/>
  <c r="AW12" i="69"/>
  <c r="BG12" i="69"/>
  <c r="O34" i="69"/>
  <c r="BC34" i="69"/>
  <c r="AN11" i="69" a="1"/>
  <c r="AN11" i="69" s="1"/>
  <c r="AS11" i="69" a="1"/>
  <c r="AS11" i="69" s="1"/>
  <c r="AO11" i="69" a="1"/>
  <c r="AO11" i="69" s="1"/>
  <c r="AR11" i="69" a="1"/>
  <c r="AR11" i="69" s="1"/>
  <c r="AI11" i="69" a="1"/>
  <c r="AI11" i="69" s="1"/>
  <c r="AG11" i="69" a="1"/>
  <c r="AG11" i="69" s="1"/>
  <c r="AM11" i="69" a="1"/>
  <c r="AM11" i="69" s="1"/>
  <c r="AP11" i="69" a="1"/>
  <c r="AP11" i="69" s="1"/>
  <c r="BF11" i="69" a="1"/>
  <c r="BF11" i="69" s="1"/>
  <c r="AX27" i="69"/>
  <c r="AO12" i="69" a="1"/>
  <c r="AO12" i="69" s="1"/>
  <c r="AI12" i="69" a="1"/>
  <c r="AI12" i="69" s="1"/>
  <c r="AG12" i="69" a="1"/>
  <c r="AG12" i="69" s="1"/>
  <c r="AR12" i="69" a="1"/>
  <c r="AR12" i="69" s="1"/>
  <c r="AN12" i="69" a="1"/>
  <c r="AN12" i="69" s="1"/>
  <c r="AM12" i="69" a="1"/>
  <c r="AM12" i="69" s="1"/>
  <c r="AS12" i="69" a="1"/>
  <c r="AS12" i="69" s="1"/>
  <c r="AP12" i="69" a="1"/>
  <c r="AP12" i="69" s="1"/>
  <c r="AL51" i="69" a="1"/>
  <c r="AL51" i="69" s="1"/>
  <c r="B35" i="23"/>
  <c r="K66" i="69" a="1"/>
  <c r="K66" i="69" s="1"/>
  <c r="L66" i="69"/>
  <c r="BX91" i="4"/>
  <c r="AS77" i="4" a="1"/>
  <c r="AS77" i="4" s="1"/>
  <c r="C77" i="69" s="1"/>
  <c r="D77" i="69" s="1" a="1"/>
  <c r="D77" i="69" s="1"/>
  <c r="V77" i="4"/>
  <c r="AQ77" i="4" a="1"/>
  <c r="AQ77" i="4" s="1"/>
  <c r="H77" i="69" s="1"/>
  <c r="AR77" i="4"/>
  <c r="BN77" i="4"/>
  <c r="CU77" i="4"/>
  <c r="CV77" i="4" s="1"/>
  <c r="BO73" i="4"/>
  <c r="AV570" i="13"/>
  <c r="BI73" i="4"/>
  <c r="BE73" i="4"/>
  <c r="V3" i="4"/>
  <c r="AS3" i="4" a="1"/>
  <c r="AS3" i="4" s="1"/>
  <c r="C3" i="69" s="1"/>
  <c r="D3" i="69" s="1" a="1"/>
  <c r="D3" i="69" s="1"/>
  <c r="AR3" i="4"/>
  <c r="AQ3" i="4" a="1"/>
  <c r="AQ3" i="4" s="1"/>
  <c r="H3" i="69" s="1"/>
  <c r="CU3" i="4"/>
  <c r="CV3" i="4" s="1"/>
  <c r="BX19" i="4"/>
  <c r="AQ19" i="4" a="1"/>
  <c r="AQ19" i="4" s="1"/>
  <c r="H19" i="69" s="1"/>
  <c r="AR19" i="4"/>
  <c r="AS19" i="4" a="1"/>
  <c r="AS19" i="4" s="1"/>
  <c r="C19" i="69" s="1"/>
  <c r="D19" i="69" s="1" a="1"/>
  <c r="D19" i="69" s="1"/>
  <c r="V19" i="4"/>
  <c r="BN19" i="4"/>
  <c r="AV583" i="13"/>
  <c r="BE86" i="4"/>
  <c r="BI86" i="4"/>
  <c r="AE62" i="69" a="1"/>
  <c r="AE62" i="69" s="1"/>
  <c r="BF62" i="69" s="1" a="1"/>
  <c r="BF62" i="69" s="1"/>
  <c r="K54" i="69" a="1"/>
  <c r="K54" i="69" s="1"/>
  <c r="L54" i="69"/>
  <c r="BX6" i="4"/>
  <c r="AQ6" i="4" a="1"/>
  <c r="AQ6" i="4" s="1"/>
  <c r="H6" i="69" s="1"/>
  <c r="AS6" i="4" a="1"/>
  <c r="AS6" i="4" s="1"/>
  <c r="C6" i="69" s="1"/>
  <c r="D6" i="69" s="1" a="1"/>
  <c r="D6" i="69" s="1"/>
  <c r="AR6" i="4"/>
  <c r="V6" i="4"/>
  <c r="BN6" i="4"/>
  <c r="CU6" i="4"/>
  <c r="CV6" i="4" s="1"/>
  <c r="K15" i="69" a="1"/>
  <c r="K15" i="69" s="1"/>
  <c r="L15" i="69"/>
  <c r="AR37" i="4"/>
  <c r="V37" i="4"/>
  <c r="AS37" i="4" a="1"/>
  <c r="AS37" i="4" s="1"/>
  <c r="C37" i="69" s="1"/>
  <c r="D37" i="69" s="1" a="1"/>
  <c r="D37" i="69" s="1"/>
  <c r="AQ37" i="4" a="1"/>
  <c r="AQ37" i="4" s="1"/>
  <c r="H37" i="69" s="1"/>
  <c r="BN37" i="4"/>
  <c r="K52" i="69" a="1"/>
  <c r="K52" i="69" s="1"/>
  <c r="L52" i="69"/>
  <c r="AX382" i="13"/>
  <c r="A481" i="13"/>
  <c r="K10" i="69" a="1"/>
  <c r="K10" i="69" s="1"/>
  <c r="L10" i="69"/>
  <c r="BX79" i="4"/>
  <c r="AS79" i="4" a="1"/>
  <c r="AS79" i="4" s="1"/>
  <c r="C79" i="69" s="1"/>
  <c r="D79" i="69" s="1" a="1"/>
  <c r="D79" i="69" s="1"/>
  <c r="V79" i="4"/>
  <c r="AR79" i="4"/>
  <c r="AQ79" i="4" a="1"/>
  <c r="AQ79" i="4" s="1"/>
  <c r="H79" i="69" s="1"/>
  <c r="CU79" i="4"/>
  <c r="CV79" i="4" s="1"/>
  <c r="BN79" i="4"/>
  <c r="BI77" i="69" a="1"/>
  <c r="BI77" i="69" s="1"/>
  <c r="BL77" i="69"/>
  <c r="BH77" i="69"/>
  <c r="BJ77" i="69" s="1"/>
  <c r="R77" i="69"/>
  <c r="E77" i="69"/>
  <c r="AY77" i="69"/>
  <c r="AO77" i="69" s="1" a="1"/>
  <c r="AO77" i="69" s="1"/>
  <c r="BE77" i="69" a="1"/>
  <c r="BE77" i="69" s="1"/>
  <c r="AV77" i="69"/>
  <c r="BF77" i="69" a="1"/>
  <c r="BF77" i="69" s="1"/>
  <c r="AH77" i="69" a="1"/>
  <c r="AH77" i="69" s="1"/>
  <c r="F475" i="15" a="1"/>
  <c r="F475" i="15" s="1"/>
  <c r="B91" i="69"/>
  <c r="BI84" i="69" a="1"/>
  <c r="BI84" i="69" s="1"/>
  <c r="E84" i="69"/>
  <c r="R84" i="69"/>
  <c r="BF84" i="69" a="1"/>
  <c r="BF84" i="69" s="1"/>
  <c r="AH84" i="69" a="1"/>
  <c r="AH84" i="69" s="1"/>
  <c r="AY84" i="69"/>
  <c r="AO84" i="69" s="1" a="1"/>
  <c r="AO84" i="69" s="1"/>
  <c r="AV84" i="69"/>
  <c r="BH84" i="69"/>
  <c r="BJ84" i="69" s="1"/>
  <c r="BE84" i="69" a="1"/>
  <c r="BE84" i="69" s="1"/>
  <c r="BL84" i="69"/>
  <c r="F110" i="15" a="1"/>
  <c r="F110" i="15" s="1"/>
  <c r="I307" i="15" a="1"/>
  <c r="I307" i="15" s="1"/>
  <c r="H307" i="15" a="1"/>
  <c r="H307" i="15" s="1"/>
  <c r="B88" i="69"/>
  <c r="AW73" i="69"/>
  <c r="BG73" i="69"/>
  <c r="AX73" i="69"/>
  <c r="R65" i="69"/>
  <c r="BE65" i="69" a="1"/>
  <c r="BE65" i="69" s="1"/>
  <c r="AY65" i="69"/>
  <c r="AN65" i="69" s="1" a="1"/>
  <c r="AN65" i="69" s="1"/>
  <c r="BI65" i="69" a="1"/>
  <c r="BI65" i="69" s="1"/>
  <c r="BL65" i="69"/>
  <c r="E65" i="69"/>
  <c r="AV65" i="69"/>
  <c r="BH65" i="69"/>
  <c r="BJ65" i="69" s="1"/>
  <c r="BF65" i="69" a="1"/>
  <c r="BF65" i="69" s="1"/>
  <c r="AH65" i="69" a="1"/>
  <c r="AH65" i="69" s="1"/>
  <c r="AQ94" i="69" a="1"/>
  <c r="AQ94" i="69" s="1"/>
  <c r="BM67" i="69"/>
  <c r="C36" i="23"/>
  <c r="BL55" i="69"/>
  <c r="A478" i="13"/>
  <c r="AX379" i="13"/>
  <c r="L56" i="69"/>
  <c r="AE52" i="69" a="1"/>
  <c r="AE52" i="69" s="1"/>
  <c r="AW91" i="69"/>
  <c r="BX43" i="4"/>
  <c r="A489" i="13"/>
  <c r="AX390" i="13"/>
  <c r="BC88" i="69"/>
  <c r="AQ13" i="69" a="1"/>
  <c r="AQ13" i="69" s="1"/>
  <c r="BX13" i="4"/>
  <c r="AR13" i="4"/>
  <c r="V13" i="4"/>
  <c r="AS13" i="4" a="1"/>
  <c r="AS13" i="4" s="1"/>
  <c r="C13" i="69" s="1"/>
  <c r="D13" i="69" s="1" a="1"/>
  <c r="D13" i="69" s="1"/>
  <c r="AQ13" i="4" a="1"/>
  <c r="AQ13" i="4" s="1"/>
  <c r="H13" i="69" s="1"/>
  <c r="BN13" i="4"/>
  <c r="CU13" i="4"/>
  <c r="CV13" i="4" s="1"/>
  <c r="BC94" i="69"/>
  <c r="O94" i="69"/>
  <c r="U16" i="4"/>
  <c r="BI16" i="4"/>
  <c r="BE16" i="4"/>
  <c r="AV513" i="13"/>
  <c r="AX64" i="69"/>
  <c r="AW64" i="69"/>
  <c r="B10" i="27"/>
  <c r="AX342" i="13"/>
  <c r="A441" i="13"/>
  <c r="AW88" i="69"/>
  <c r="K483" i="15" a="1"/>
  <c r="K483" i="15" s="1"/>
  <c r="K63" i="69" a="1"/>
  <c r="K63" i="69" s="1"/>
  <c r="L63" i="69"/>
  <c r="BX61" i="4"/>
  <c r="V61" i="4"/>
  <c r="AR61" i="4"/>
  <c r="AQ61" i="4" a="1"/>
  <c r="AQ61" i="4" s="1"/>
  <c r="H61" i="69" s="1"/>
  <c r="AS61" i="4" a="1"/>
  <c r="AS61" i="4" s="1"/>
  <c r="C61" i="69" s="1"/>
  <c r="D61" i="69" s="1" a="1"/>
  <c r="D61" i="69" s="1"/>
  <c r="BN61" i="4"/>
  <c r="AL12" i="69" a="1"/>
  <c r="AL12" i="69" s="1"/>
  <c r="V50" i="4"/>
  <c r="AR50" i="4"/>
  <c r="AQ50" i="4" a="1"/>
  <c r="AQ50" i="4" s="1"/>
  <c r="H50" i="69" s="1"/>
  <c r="AS50" i="4" a="1"/>
  <c r="AS50" i="4" s="1"/>
  <c r="C50" i="69" s="1"/>
  <c r="D50" i="69" s="1" a="1"/>
  <c r="D50" i="69" s="1"/>
  <c r="CU50" i="4"/>
  <c r="CV50" i="4" s="1"/>
  <c r="BN50" i="4"/>
  <c r="AZ65" i="69"/>
  <c r="BI8" i="4"/>
  <c r="BE8" i="4"/>
  <c r="AV505" i="13"/>
  <c r="BI89" i="4"/>
  <c r="BE89" i="4"/>
  <c r="AV586" i="13"/>
  <c r="BG29" i="69"/>
  <c r="AQ17" i="4" a="1"/>
  <c r="AQ17" i="4" s="1"/>
  <c r="H17" i="69" s="1"/>
  <c r="AS17" i="4" a="1"/>
  <c r="AS17" i="4" s="1"/>
  <c r="C17" i="69" s="1"/>
  <c r="D17" i="69" s="1" a="1"/>
  <c r="D17" i="69" s="1"/>
  <c r="AR17" i="4"/>
  <c r="V17" i="4"/>
  <c r="BN17" i="4"/>
  <c r="AX40" i="69"/>
  <c r="K26" i="69" a="1"/>
  <c r="K26" i="69" s="1"/>
  <c r="L26" i="69"/>
  <c r="BX46" i="4"/>
  <c r="AQ46" i="4" a="1"/>
  <c r="AQ46" i="4" s="1"/>
  <c r="H46" i="69" s="1"/>
  <c r="AS46" i="4" a="1"/>
  <c r="AS46" i="4" s="1"/>
  <c r="C46" i="69" s="1"/>
  <c r="D46" i="69" s="1" a="1"/>
  <c r="D46" i="69" s="1"/>
  <c r="AR46" i="4"/>
  <c r="V46" i="4"/>
  <c r="BN46" i="4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AS18" i="4" a="1"/>
  <c r="AS18" i="4" s="1"/>
  <c r="C18" i="69" s="1"/>
  <c r="D18" i="69" s="1" a="1"/>
  <c r="D18" i="69" s="1"/>
  <c r="AQ18" i="4" a="1"/>
  <c r="AQ18" i="4" s="1"/>
  <c r="H18" i="69" s="1"/>
  <c r="AR18" i="4"/>
  <c r="V18" i="4"/>
  <c r="BN18" i="4"/>
  <c r="K41" i="69" a="1"/>
  <c r="K41" i="69" s="1"/>
  <c r="L41" i="69"/>
  <c r="BO39" i="4"/>
  <c r="AV536" i="13"/>
  <c r="BI39" i="4"/>
  <c r="BE39" i="4"/>
  <c r="BK73" i="69"/>
  <c r="BF17" i="69" a="1"/>
  <c r="BF17" i="69" s="1"/>
  <c r="AE21" i="4"/>
  <c r="AV1310" i="13" s="1"/>
  <c r="AT21" i="69"/>
  <c r="BK21" i="69" s="1"/>
  <c r="CQ55" i="4"/>
  <c r="CR55" i="4" s="1"/>
  <c r="CR96" i="4" s="1"/>
  <c r="AU55" i="69"/>
  <c r="AV55" i="69" s="1"/>
  <c r="BG10" i="69"/>
  <c r="AW10" i="69"/>
  <c r="AX10" i="69"/>
  <c r="BK6" i="69"/>
  <c r="AX6" i="69"/>
  <c r="BG6" i="69"/>
  <c r="AW6" i="69"/>
  <c r="BC75" i="69"/>
  <c r="O75" i="69"/>
  <c r="AQ58" i="4" a="1"/>
  <c r="AQ58" i="4" s="1"/>
  <c r="H58" i="69" s="1"/>
  <c r="AR58" i="4"/>
  <c r="AS58" i="4" a="1"/>
  <c r="AS58" i="4" s="1"/>
  <c r="C58" i="69" s="1"/>
  <c r="D58" i="69" s="1" a="1"/>
  <c r="D58" i="69" s="1"/>
  <c r="V58" i="4"/>
  <c r="CU58" i="4"/>
  <c r="CV58" i="4" s="1"/>
  <c r="BX58" i="4"/>
  <c r="BN58" i="4"/>
  <c r="A474" i="13"/>
  <c r="AX375" i="13"/>
  <c r="I179" i="15" a="1"/>
  <c r="I179" i="15" s="1"/>
  <c r="H179" i="15" a="1"/>
  <c r="H179" i="15" s="1"/>
  <c r="BC7" i="69"/>
  <c r="O7" i="69"/>
  <c r="AV1215" i="13"/>
  <c r="B25" i="69"/>
  <c r="BC51" i="69"/>
  <c r="O51" i="69"/>
  <c r="O17" i="69"/>
  <c r="BC17" i="69"/>
  <c r="BK3" i="69"/>
  <c r="AW3" i="69"/>
  <c r="BG3" i="69"/>
  <c r="AX3" i="69"/>
  <c r="H449" i="15" a="1"/>
  <c r="H449" i="15" s="1"/>
  <c r="I449" i="15" a="1"/>
  <c r="I449" i="15" s="1"/>
  <c r="AV1232" i="13"/>
  <c r="B42" i="69"/>
  <c r="BC59" i="69"/>
  <c r="O59" i="69"/>
  <c r="O77" i="69"/>
  <c r="BC77" i="69"/>
  <c r="BC48" i="69"/>
  <c r="O48" i="69"/>
  <c r="AV1268" i="13"/>
  <c r="B78" i="69"/>
  <c r="G9" i="69"/>
  <c r="G8" i="69"/>
  <c r="AG43" i="69" a="1"/>
  <c r="AG43" i="69" s="1"/>
  <c r="B11" i="69"/>
  <c r="B12" i="69"/>
  <c r="A480" i="13"/>
  <c r="AX381" i="13"/>
  <c r="K71" i="69" a="1"/>
  <c r="K71" i="69" s="1"/>
  <c r="L71" i="69"/>
  <c r="K91" i="69" a="1"/>
  <c r="K91" i="69" s="1"/>
  <c r="L91" i="69"/>
  <c r="AL10" i="69" a="1"/>
  <c r="AL10" i="69" s="1"/>
  <c r="K92" i="69" a="1"/>
  <c r="K92" i="69" s="1"/>
  <c r="L92" i="69"/>
  <c r="U77" i="4"/>
  <c r="BE77" i="4"/>
  <c r="AV574" i="13"/>
  <c r="BI77" i="4"/>
  <c r="BK81" i="69"/>
  <c r="BI81" i="4"/>
  <c r="AV578" i="13"/>
  <c r="BE81" i="4"/>
  <c r="BX73" i="4"/>
  <c r="AR73" i="4"/>
  <c r="V73" i="4"/>
  <c r="AS73" i="4" a="1"/>
  <c r="AS73" i="4" s="1"/>
  <c r="C73" i="69" s="1"/>
  <c r="D73" i="69" s="1" a="1"/>
  <c r="D73" i="69" s="1"/>
  <c r="AQ73" i="4" a="1"/>
  <c r="AQ73" i="4" s="1"/>
  <c r="H73" i="69" s="1"/>
  <c r="BN73" i="4"/>
  <c r="AQ3" i="69" a="1"/>
  <c r="AQ3" i="69" s="1"/>
  <c r="AE6" i="69" a="1"/>
  <c r="AE6" i="69" s="1"/>
  <c r="AE15" i="69" a="1"/>
  <c r="AE15" i="69" s="1"/>
  <c r="U15" i="4"/>
  <c r="BE15" i="4"/>
  <c r="AV512" i="13"/>
  <c r="BI15" i="4"/>
  <c r="AV534" i="13"/>
  <c r="BI37" i="4"/>
  <c r="BE37" i="4"/>
  <c r="U52" i="4"/>
  <c r="AV549" i="13"/>
  <c r="BI52" i="4"/>
  <c r="BE52" i="4"/>
  <c r="K79" i="69" a="1"/>
  <c r="K79" i="69" s="1"/>
  <c r="L79" i="69"/>
  <c r="I185" i="15" a="1"/>
  <c r="I185" i="15" s="1"/>
  <c r="H185" i="15" a="1"/>
  <c r="H185" i="15" s="1"/>
  <c r="BH56" i="69"/>
  <c r="BI56" i="69" a="1"/>
  <c r="BI56" i="69" s="1"/>
  <c r="BL56" i="69"/>
  <c r="BE56" i="69" a="1"/>
  <c r="BE56" i="69" s="1"/>
  <c r="AV56" i="69"/>
  <c r="AY56" i="69"/>
  <c r="R56" i="69"/>
  <c r="E56" i="69"/>
  <c r="B87" i="69"/>
  <c r="Z38" i="14"/>
  <c r="AZ62" i="69"/>
  <c r="BK57" i="69"/>
  <c r="AW57" i="69"/>
  <c r="AX57" i="69"/>
  <c r="AX68" i="69"/>
  <c r="AH82" i="69" a="1"/>
  <c r="AH82" i="69" s="1"/>
  <c r="BE82" i="69" a="1"/>
  <c r="BE82" i="69" s="1"/>
  <c r="BL82" i="69"/>
  <c r="BI82" i="69" a="1"/>
  <c r="BI82" i="69" s="1"/>
  <c r="BH82" i="69"/>
  <c r="BF82" i="69" a="1"/>
  <c r="BF82" i="69" s="1"/>
  <c r="AY82" i="69"/>
  <c r="AN82" i="69" s="1" a="1"/>
  <c r="AN82" i="69" s="1"/>
  <c r="AV82" i="69"/>
  <c r="AG82" i="69" s="1" a="1"/>
  <c r="AG82" i="69" s="1"/>
  <c r="E82" i="69"/>
  <c r="R82" i="69"/>
  <c r="BM71" i="69"/>
  <c r="BK66" i="69"/>
  <c r="AX66" i="69"/>
  <c r="AW66" i="69"/>
  <c r="BG66" i="69"/>
  <c r="AX79" i="69"/>
  <c r="AW79" i="69"/>
  <c r="BG79" i="69"/>
  <c r="BM59" i="69"/>
  <c r="A412" i="13"/>
  <c r="AX313" i="13"/>
  <c r="BX83" i="4"/>
  <c r="K22" i="69" a="1"/>
  <c r="K22" i="69" s="1"/>
  <c r="L22" i="69"/>
  <c r="BK20" i="69"/>
  <c r="V20" i="4"/>
  <c r="AS20" i="4" a="1"/>
  <c r="AS20" i="4" s="1"/>
  <c r="C20" i="69" s="1"/>
  <c r="D20" i="69" s="1" a="1"/>
  <c r="D20" i="69" s="1"/>
  <c r="AR20" i="4"/>
  <c r="AQ20" i="4" a="1"/>
  <c r="AQ20" i="4" s="1"/>
  <c r="H20" i="69" s="1"/>
  <c r="CU20" i="4"/>
  <c r="CV20" i="4" s="1"/>
  <c r="BN20" i="4"/>
  <c r="K69" i="69" a="1"/>
  <c r="K69" i="69" s="1"/>
  <c r="L69" i="69"/>
  <c r="U93" i="4"/>
  <c r="AV590" i="13"/>
  <c r="BI93" i="4"/>
  <c r="BE93" i="4"/>
  <c r="AX690" i="13"/>
  <c r="A789" i="13"/>
  <c r="K43" i="69" a="1"/>
  <c r="K43" i="69" s="1"/>
  <c r="L43" i="69"/>
  <c r="BX40" i="4"/>
  <c r="AZ72" i="69"/>
  <c r="BG25" i="69"/>
  <c r="AW77" i="69"/>
  <c r="AQ75" i="4" a="1"/>
  <c r="AQ75" i="4" s="1"/>
  <c r="H75" i="69" s="1"/>
  <c r="V75" i="4"/>
  <c r="AR75" i="4"/>
  <c r="AS75" i="4" a="1"/>
  <c r="AS75" i="4" s="1"/>
  <c r="C75" i="69" s="1"/>
  <c r="D75" i="69" s="1" a="1"/>
  <c r="D75" i="69" s="1"/>
  <c r="BN75" i="4"/>
  <c r="CU75" i="4"/>
  <c r="CV75" i="4" s="1"/>
  <c r="AW85" i="69"/>
  <c r="AZ91" i="69"/>
  <c r="BX31" i="4"/>
  <c r="AR31" i="4"/>
  <c r="V31" i="4"/>
  <c r="AQ31" i="4" a="1"/>
  <c r="AQ31" i="4" s="1"/>
  <c r="H31" i="69" s="1"/>
  <c r="AS31" i="4" a="1"/>
  <c r="AS31" i="4" s="1"/>
  <c r="C31" i="69" s="1"/>
  <c r="D31" i="69" s="1" a="1"/>
  <c r="D31" i="69" s="1"/>
  <c r="BN31" i="4"/>
  <c r="CU31" i="4"/>
  <c r="CV31" i="4" s="1"/>
  <c r="A472" i="13"/>
  <c r="AX373" i="13"/>
  <c r="BL88" i="69"/>
  <c r="AV88" i="69"/>
  <c r="R88" i="69"/>
  <c r="BI88" i="69" a="1"/>
  <c r="BI88" i="69" s="1"/>
  <c r="BE88" i="69" a="1"/>
  <c r="BE88" i="69" s="1"/>
  <c r="E88" i="69"/>
  <c r="BH88" i="69"/>
  <c r="BJ88" i="69" s="1"/>
  <c r="AY88" i="69"/>
  <c r="AN88" i="69" s="1" a="1"/>
  <c r="AN88" i="69" s="1"/>
  <c r="BF88" i="69" a="1"/>
  <c r="BF88" i="69" s="1"/>
  <c r="L483" i="15" a="1"/>
  <c r="L483" i="15" s="1"/>
  <c r="BX44" i="4"/>
  <c r="BO50" i="4"/>
  <c r="AV547" i="13"/>
  <c r="BI50" i="4"/>
  <c r="BE50" i="4"/>
  <c r="AW84" i="69"/>
  <c r="BE33" i="4"/>
  <c r="BI33" i="4"/>
  <c r="AV530" i="13"/>
  <c r="AS90" i="4" a="1"/>
  <c r="AS90" i="4" s="1"/>
  <c r="C90" i="69" s="1"/>
  <c r="D90" i="69" s="1" a="1"/>
  <c r="D90" i="69" s="1"/>
  <c r="AQ90" i="4" a="1"/>
  <c r="AQ90" i="4" s="1"/>
  <c r="H90" i="69" s="1"/>
  <c r="AR90" i="4"/>
  <c r="V90" i="4"/>
  <c r="BN90" i="4"/>
  <c r="CU90" i="4"/>
  <c r="CV90" i="4" s="1"/>
  <c r="BX30" i="4"/>
  <c r="A431" i="13"/>
  <c r="AX332" i="13"/>
  <c r="K8" i="69" a="1"/>
  <c r="K8" i="69" s="1"/>
  <c r="L8" i="69"/>
  <c r="O93" i="69"/>
  <c r="AW68" i="69"/>
  <c r="BG68" i="69"/>
  <c r="AX360" i="13"/>
  <c r="A459" i="13"/>
  <c r="AS12" i="4" a="1"/>
  <c r="AS12" i="4" s="1"/>
  <c r="C12" i="69" s="1"/>
  <c r="D12" i="69" s="1" a="1"/>
  <c r="D12" i="69" s="1"/>
  <c r="AQ12" i="4" a="1"/>
  <c r="AQ12" i="4" s="1"/>
  <c r="H12" i="69" s="1"/>
  <c r="AR12" i="4"/>
  <c r="V12" i="4"/>
  <c r="BN12" i="4"/>
  <c r="CU12" i="4"/>
  <c r="CV12" i="4" s="1"/>
  <c r="A403" i="13"/>
  <c r="AX304" i="13"/>
  <c r="AV514" i="13"/>
  <c r="BE17" i="4"/>
  <c r="BI17" i="4"/>
  <c r="BQ60" i="4"/>
  <c r="AQ39" i="4" a="1"/>
  <c r="AQ39" i="4" s="1"/>
  <c r="H39" i="69" s="1"/>
  <c r="V39" i="4"/>
  <c r="AR39" i="4"/>
  <c r="AS39" i="4" a="1"/>
  <c r="AS39" i="4" s="1"/>
  <c r="C39" i="69" s="1"/>
  <c r="D39" i="69" s="1" a="1"/>
  <c r="D39" i="69" s="1"/>
  <c r="CU39" i="4"/>
  <c r="CV39" i="4" s="1"/>
  <c r="BN39" i="4"/>
  <c r="AQ92" i="69" a="1"/>
  <c r="AQ92" i="69" s="1"/>
  <c r="AL92" i="69" l="1" a="1"/>
  <c r="AL92" i="69" s="1"/>
  <c r="AV1190" i="13" a="1"/>
  <c r="AV1190" i="13" s="1"/>
  <c r="AL68" i="69" a="1"/>
  <c r="AL68" i="69" s="1"/>
  <c r="BF80" i="69" a="1"/>
  <c r="BF80" i="69" s="1"/>
  <c r="O47" i="69"/>
  <c r="AO70" i="69" a="1"/>
  <c r="AO70" i="69" s="1"/>
  <c r="AE21" i="69" a="1"/>
  <c r="AE21" i="69" s="1"/>
  <c r="AI21" i="69" s="1" a="1"/>
  <c r="AI21" i="69" s="1"/>
  <c r="AH57" i="69" a="1"/>
  <c r="AH57" i="69" s="1"/>
  <c r="AL65" i="69" a="1"/>
  <c r="AL65" i="69" s="1"/>
  <c r="O71" i="69"/>
  <c r="AG88" i="69" a="1"/>
  <c r="AG88" i="69" s="1"/>
  <c r="AS88" i="69" a="1"/>
  <c r="AS88" i="69" s="1"/>
  <c r="BC66" i="69"/>
  <c r="I270" i="15" a="1"/>
  <c r="I270" i="15" s="1"/>
  <c r="AG79" i="69" a="1"/>
  <c r="AG79" i="69" s="1"/>
  <c r="BF81" i="69" a="1"/>
  <c r="BF81" i="69" s="1"/>
  <c r="I356" i="15" a="1"/>
  <c r="I356" i="15" s="1"/>
  <c r="AL61" i="69" a="1"/>
  <c r="AL61" i="69" s="1"/>
  <c r="H142" i="15" a="1"/>
  <c r="H142" i="15" s="1"/>
  <c r="AH81" i="69" a="1"/>
  <c r="AH81" i="69" s="1"/>
  <c r="AG69" i="69" a="1"/>
  <c r="AG69" i="69" s="1"/>
  <c r="AH92" i="69" a="1"/>
  <c r="AH92" i="69" s="1"/>
  <c r="BF92" i="69" a="1"/>
  <c r="BF92" i="69" s="1"/>
  <c r="AN72" i="69" a="1"/>
  <c r="AN72" i="69" s="1"/>
  <c r="AP57" i="69" a="1"/>
  <c r="AP57" i="69" s="1"/>
  <c r="AN92" i="69" a="1"/>
  <c r="AN92" i="69" s="1"/>
  <c r="BF68" i="69" a="1"/>
  <c r="BF68" i="69" s="1"/>
  <c r="AH91" i="69" a="1"/>
  <c r="AH91" i="69" s="1"/>
  <c r="AI84" i="69" a="1"/>
  <c r="AI84" i="69" s="1"/>
  <c r="U60" i="4"/>
  <c r="AG92" i="69" a="1"/>
  <c r="AG92" i="69" s="1"/>
  <c r="AI57" i="69" a="1"/>
  <c r="AI57" i="69" s="1"/>
  <c r="B8" i="27"/>
  <c r="B9" i="27" s="1"/>
  <c r="AO80" i="69" a="1"/>
  <c r="AO80" i="69" s="1"/>
  <c r="BG87" i="69"/>
  <c r="AM70" i="69" a="1"/>
  <c r="AM70" i="69" s="1"/>
  <c r="AG70" i="69" a="1"/>
  <c r="AG70" i="69" s="1"/>
  <c r="BC64" i="69"/>
  <c r="BC86" i="69"/>
  <c r="AG57" i="69" a="1"/>
  <c r="AG57" i="69" s="1"/>
  <c r="AR57" i="69" a="1"/>
  <c r="AR57" i="69" s="1"/>
  <c r="AG84" i="69" a="1"/>
  <c r="AG84" i="69" s="1"/>
  <c r="AM57" i="69" a="1"/>
  <c r="AM57" i="69" s="1"/>
  <c r="AR84" i="69" a="1"/>
  <c r="AR84" i="69" s="1"/>
  <c r="AM84" i="69" a="1"/>
  <c r="AM84" i="69" s="1"/>
  <c r="O78" i="69"/>
  <c r="AN43" i="69" a="1"/>
  <c r="AN43" i="69" s="1"/>
  <c r="AS84" i="69" a="1"/>
  <c r="AS84" i="69" s="1"/>
  <c r="BF69" i="69" a="1"/>
  <c r="BF69" i="69" s="1"/>
  <c r="H285" i="15" a="1"/>
  <c r="H285" i="15" s="1"/>
  <c r="AL59" i="69" a="1"/>
  <c r="AL59" i="69" s="1"/>
  <c r="BC10" i="69"/>
  <c r="AP92" i="69" a="1"/>
  <c r="AP92" i="69" s="1"/>
  <c r="AP84" i="69" a="1"/>
  <c r="AP84" i="69" s="1"/>
  <c r="AI92" i="69" a="1"/>
  <c r="AI92" i="69" s="1"/>
  <c r="AI70" i="69" a="1"/>
  <c r="AI70" i="69" s="1"/>
  <c r="AS92" i="69" a="1"/>
  <c r="AS92" i="69" s="1"/>
  <c r="AM92" i="69" a="1"/>
  <c r="AM92" i="69" s="1"/>
  <c r="AO68" i="69" a="1"/>
  <c r="AO68" i="69" s="1"/>
  <c r="AN91" i="69" a="1"/>
  <c r="AN91" i="69" s="1"/>
  <c r="AH68" i="69" a="1"/>
  <c r="AH68" i="69" s="1"/>
  <c r="BF74" i="69" a="1"/>
  <c r="BF74" i="69" s="1"/>
  <c r="AM89" i="69" a="1"/>
  <c r="AM89" i="69" s="1"/>
  <c r="AP88" i="69" a="1"/>
  <c r="AP88" i="69" s="1"/>
  <c r="AN89" i="69" a="1"/>
  <c r="AN89" i="69" s="1"/>
  <c r="AM88" i="69" a="1"/>
  <c r="AM88" i="69" s="1"/>
  <c r="AH88" i="69" a="1"/>
  <c r="AH88" i="69" s="1"/>
  <c r="BF89" i="69" a="1"/>
  <c r="BF89" i="69" s="1"/>
  <c r="AG89" i="69" a="1"/>
  <c r="AG89" i="69" s="1"/>
  <c r="AP89" i="69" a="1"/>
  <c r="AP89" i="69" s="1"/>
  <c r="AI89" i="69" a="1"/>
  <c r="AI89" i="69" s="1"/>
  <c r="AR89" i="69" a="1"/>
  <c r="AR89" i="69" s="1"/>
  <c r="AR70" i="69" a="1"/>
  <c r="AR70" i="69" s="1"/>
  <c r="AH89" i="69" a="1"/>
  <c r="AH89" i="69" s="1"/>
  <c r="AS70" i="69" a="1"/>
  <c r="AS70" i="69" s="1"/>
  <c r="AH72" i="69" a="1"/>
  <c r="AH72" i="69" s="1"/>
  <c r="AL80" i="69" a="1"/>
  <c r="AL80" i="69" s="1"/>
  <c r="AH69" i="69" a="1"/>
  <c r="AH69" i="69" s="1"/>
  <c r="H166" i="15" a="1"/>
  <c r="H166" i="15" s="1"/>
  <c r="AG74" i="69" a="1"/>
  <c r="AG74" i="69" s="1"/>
  <c r="G369" i="15"/>
  <c r="G70" i="15"/>
  <c r="O83" i="69"/>
  <c r="G403" i="15"/>
  <c r="BG64" i="69"/>
  <c r="AH66" i="69" a="1"/>
  <c r="AH66" i="69" s="1"/>
  <c r="AR75" i="69" a="1"/>
  <c r="AR75" i="69" s="1"/>
  <c r="AS75" i="69" a="1"/>
  <c r="AS75" i="69" s="1"/>
  <c r="I223" i="15" a="1"/>
  <c r="I223" i="15" s="1"/>
  <c r="G370" i="15"/>
  <c r="H378" i="15" a="1"/>
  <c r="H378" i="15" s="1"/>
  <c r="AH56" i="69" a="1"/>
  <c r="AH56" i="69" s="1"/>
  <c r="G482" i="15"/>
  <c r="AN66" i="69" a="1"/>
  <c r="AN66" i="69" s="1"/>
  <c r="BF66" i="69" a="1"/>
  <c r="BF66" i="69" s="1"/>
  <c r="AO74" i="69" a="1"/>
  <c r="AO74" i="69" s="1"/>
  <c r="AN76" i="69" a="1"/>
  <c r="AN76" i="69" s="1"/>
  <c r="AR65" i="69" a="1"/>
  <c r="AR65" i="69" s="1"/>
  <c r="AM75" i="69" a="1"/>
  <c r="AM75" i="69" s="1"/>
  <c r="AL71" i="69" a="1"/>
  <c r="AL71" i="69" s="1"/>
  <c r="AL87" i="69" a="1"/>
  <c r="AL87" i="69" s="1"/>
  <c r="AP75" i="69" a="1"/>
  <c r="AP75" i="69" s="1"/>
  <c r="AI65" i="69" a="1"/>
  <c r="AI65" i="69" s="1"/>
  <c r="AO75" i="69" a="1"/>
  <c r="AO75" i="69" s="1"/>
  <c r="AM65" i="69" a="1"/>
  <c r="AM65" i="69" s="1"/>
  <c r="AN94" i="69" a="1"/>
  <c r="AN94" i="69" s="1"/>
  <c r="AN75" i="69" a="1"/>
  <c r="AN75" i="69" s="1"/>
  <c r="AG75" i="69" a="1"/>
  <c r="AG75" i="69" s="1"/>
  <c r="AI75" i="69" a="1"/>
  <c r="AI75" i="69" s="1"/>
  <c r="AG65" i="69" a="1"/>
  <c r="AG65" i="69" s="1"/>
  <c r="AM69" i="69" a="1"/>
  <c r="AM69" i="69" s="1"/>
  <c r="AO78" i="69" a="1"/>
  <c r="AO78" i="69" s="1"/>
  <c r="AH79" i="69" a="1"/>
  <c r="AH79" i="69" s="1"/>
  <c r="G307" i="15"/>
  <c r="AH94" i="69" a="1"/>
  <c r="AH94" i="69" s="1"/>
  <c r="BC6" i="69"/>
  <c r="AG94" i="69" a="1"/>
  <c r="AG94" i="69" s="1"/>
  <c r="I16" i="27"/>
  <c r="C15" i="27" s="1"/>
  <c r="I81" i="15" a="1"/>
  <c r="I81" i="15" s="1"/>
  <c r="AM76" i="69" a="1"/>
  <c r="AM76" i="69" s="1"/>
  <c r="AH76" i="69" a="1"/>
  <c r="AH76" i="69" s="1"/>
  <c r="AG76" i="69" a="1"/>
  <c r="AG76" i="69" s="1"/>
  <c r="BF94" i="69" a="1"/>
  <c r="BF94" i="69" s="1"/>
  <c r="AM86" i="69" a="1"/>
  <c r="AM86" i="69" s="1"/>
  <c r="BF76" i="69" a="1"/>
  <c r="BF76" i="69" s="1"/>
  <c r="AP76" i="69" a="1"/>
  <c r="AP76" i="69" s="1"/>
  <c r="AR86" i="69" a="1"/>
  <c r="AR86" i="69" s="1"/>
  <c r="AS76" i="69" a="1"/>
  <c r="AS76" i="69" s="1"/>
  <c r="AR76" i="69" a="1"/>
  <c r="AR76" i="69" s="1"/>
  <c r="AP66" i="69" a="1"/>
  <c r="AP66" i="69" s="1"/>
  <c r="AR68" i="69" a="1"/>
  <c r="AR68" i="69" s="1"/>
  <c r="BG95" i="69"/>
  <c r="AP74" i="69" a="1"/>
  <c r="AP74" i="69" s="1"/>
  <c r="AR69" i="69" a="1"/>
  <c r="AR69" i="69" s="1"/>
  <c r="AN83" i="69" a="1"/>
  <c r="AN83" i="69" s="1"/>
  <c r="J36" i="14"/>
  <c r="X36" i="14"/>
  <c r="Y36" i="14"/>
  <c r="R36" i="14"/>
  <c r="AS65" i="69" a="1"/>
  <c r="AS65" i="69" s="1"/>
  <c r="AI69" i="69" a="1"/>
  <c r="AI69" i="69" s="1"/>
  <c r="AP72" i="69" a="1"/>
  <c r="AP72" i="69" s="1"/>
  <c r="AP69" i="69" a="1"/>
  <c r="AP69" i="69" s="1"/>
  <c r="AS69" i="69" a="1"/>
  <c r="AS69" i="69" s="1"/>
  <c r="AO69" i="69" a="1"/>
  <c r="AO69" i="69" s="1"/>
  <c r="AL95" i="69" a="1"/>
  <c r="AL95" i="69" s="1"/>
  <c r="AG83" i="69" a="1"/>
  <c r="AG83" i="69" s="1"/>
  <c r="AM74" i="69" a="1"/>
  <c r="AM74" i="69" s="1"/>
  <c r="AG91" i="69" a="1"/>
  <c r="AG91" i="69" s="1"/>
  <c r="AG86" i="69" a="1"/>
  <c r="AG86" i="69" s="1"/>
  <c r="AL86" i="69" a="1"/>
  <c r="AL86" i="69" s="1"/>
  <c r="AP68" i="69" a="1"/>
  <c r="AP68" i="69" s="1"/>
  <c r="AG68" i="69" a="1"/>
  <c r="AG68" i="69" s="1"/>
  <c r="O36" i="14"/>
  <c r="AS68" i="69" a="1"/>
  <c r="AS68" i="69" s="1"/>
  <c r="AS83" i="69" a="1"/>
  <c r="AS83" i="69" s="1"/>
  <c r="AM68" i="69" a="1"/>
  <c r="AM68" i="69" s="1"/>
  <c r="AI74" i="69" a="1"/>
  <c r="AI74" i="69" s="1"/>
  <c r="AR74" i="69" a="1"/>
  <c r="AR74" i="69" s="1"/>
  <c r="AR66" i="69" a="1"/>
  <c r="AR66" i="69" s="1"/>
  <c r="AM66" i="69" a="1"/>
  <c r="AM66" i="69" s="1"/>
  <c r="AS66" i="69" a="1"/>
  <c r="AS66" i="69" s="1"/>
  <c r="AG66" i="69" a="1"/>
  <c r="AG66" i="69" s="1"/>
  <c r="AI66" i="69" a="1"/>
  <c r="AI66" i="69" s="1"/>
  <c r="AM80" i="69" a="1"/>
  <c r="AM80" i="69" s="1"/>
  <c r="AS86" i="69" a="1"/>
  <c r="AS86" i="69" s="1"/>
  <c r="AI91" i="69" a="1"/>
  <c r="AI91" i="69" s="1"/>
  <c r="AR83" i="69" a="1"/>
  <c r="AR83" i="69" s="1"/>
  <c r="AS74" i="69" a="1"/>
  <c r="AS74" i="69" s="1"/>
  <c r="AM83" i="69" a="1"/>
  <c r="AM83" i="69" s="1"/>
  <c r="AL91" i="69" a="1"/>
  <c r="AL91" i="69" s="1"/>
  <c r="AI83" i="69" a="1"/>
  <c r="AI83" i="69" s="1"/>
  <c r="AP83" i="69" a="1"/>
  <c r="AP83" i="69" s="1"/>
  <c r="AR77" i="69" a="1"/>
  <c r="AR77" i="69" s="1"/>
  <c r="AG80" i="69" a="1"/>
  <c r="AG80" i="69" s="1"/>
  <c r="BF83" i="69" a="1"/>
  <c r="BF83" i="69" s="1"/>
  <c r="AR80" i="69" a="1"/>
  <c r="AR80" i="69" s="1"/>
  <c r="AP86" i="69" a="1"/>
  <c r="AP86" i="69" s="1"/>
  <c r="AS80" i="69" a="1"/>
  <c r="AS80" i="69" s="1"/>
  <c r="I36" i="14"/>
  <c r="AP80" i="69" a="1"/>
  <c r="AP80" i="69" s="1"/>
  <c r="AR91" i="69" a="1"/>
  <c r="AR91" i="69" s="1"/>
  <c r="U36" i="14"/>
  <c r="AR72" i="69" a="1"/>
  <c r="AR72" i="69" s="1"/>
  <c r="AI80" i="69" a="1"/>
  <c r="AI80" i="69" s="1"/>
  <c r="AS77" i="69" a="1"/>
  <c r="AS77" i="69" s="1"/>
  <c r="AM77" i="69" a="1"/>
  <c r="AM77" i="69" s="1"/>
  <c r="AS85" i="69" a="1"/>
  <c r="AS85" i="69" s="1"/>
  <c r="AL72" i="69" a="1"/>
  <c r="AL72" i="69" s="1"/>
  <c r="AP91" i="69" a="1"/>
  <c r="AP91" i="69" s="1"/>
  <c r="BG83" i="69"/>
  <c r="AO89" i="69" a="1"/>
  <c r="AO89" i="69" s="1"/>
  <c r="AS91" i="69" a="1"/>
  <c r="AS91" i="69" s="1"/>
  <c r="BF72" i="69" a="1"/>
  <c r="BF72" i="69" s="1"/>
  <c r="AP77" i="69" a="1"/>
  <c r="AP77" i="69" s="1"/>
  <c r="B21" i="69"/>
  <c r="AG77" i="69" a="1"/>
  <c r="AG77" i="69" s="1"/>
  <c r="AP85" i="69" a="1"/>
  <c r="AP85" i="69" s="1"/>
  <c r="AG85" i="69" a="1"/>
  <c r="AG85" i="69" s="1"/>
  <c r="AS72" i="69" a="1"/>
  <c r="AS72" i="69" s="1"/>
  <c r="BC27" i="69"/>
  <c r="AM85" i="69" a="1"/>
  <c r="AM85" i="69" s="1"/>
  <c r="AG72" i="69" a="1"/>
  <c r="AG72" i="69" s="1"/>
  <c r="AR85" i="69" a="1"/>
  <c r="AR85" i="69" s="1"/>
  <c r="AM72" i="69" a="1"/>
  <c r="AM72" i="69" s="1"/>
  <c r="G449" i="15"/>
  <c r="AN58" i="69" a="1"/>
  <c r="AN58" i="69" s="1"/>
  <c r="G328" i="15"/>
  <c r="G164" i="15"/>
  <c r="G60" i="69"/>
  <c r="AO76" i="69" a="1"/>
  <c r="AO76" i="69" s="1"/>
  <c r="G21" i="69"/>
  <c r="G195" i="15"/>
  <c r="M3" i="27" a="1"/>
  <c r="M3" i="27" s="1"/>
  <c r="AL78" i="69" a="1"/>
  <c r="AL78" i="69" s="1"/>
  <c r="BG70" i="69"/>
  <c r="G453" i="15"/>
  <c r="V36" i="14"/>
  <c r="P36" i="14"/>
  <c r="AI55" i="4"/>
  <c r="I55" i="69" s="1"/>
  <c r="BD96" i="4"/>
  <c r="G266" i="15"/>
  <c r="AE3" i="1" a="1"/>
  <c r="AE3" i="1" s="1"/>
  <c r="AE98" i="1" s="1"/>
  <c r="BF61" i="69" a="1"/>
  <c r="BF61" i="69" s="1"/>
  <c r="BJ37" i="4"/>
  <c r="BB37" i="4" s="1" a="1"/>
  <c r="BB37" i="4" s="1"/>
  <c r="BA37" i="69"/>
  <c r="AD37" i="69"/>
  <c r="AO39" i="4"/>
  <c r="AN39" i="4"/>
  <c r="BC39" i="69"/>
  <c r="O39" i="69"/>
  <c r="AN64" i="69" a="1"/>
  <c r="AN64" i="69" s="1"/>
  <c r="AI64" i="69" a="1"/>
  <c r="AI64" i="69" s="1"/>
  <c r="AG64" i="69" a="1"/>
  <c r="AG64" i="69" s="1"/>
  <c r="AM64" i="69" a="1"/>
  <c r="AM64" i="69" s="1"/>
  <c r="AS64" i="69" a="1"/>
  <c r="AS64" i="69" s="1"/>
  <c r="AR64" i="69" a="1"/>
  <c r="AR64" i="69" s="1"/>
  <c r="AO64" i="69" a="1"/>
  <c r="AO64" i="69" s="1"/>
  <c r="AP64" i="69" a="1"/>
  <c r="AP64" i="69" s="1"/>
  <c r="BJ18" i="4"/>
  <c r="BB18" i="4" s="1" a="1"/>
  <c r="BB18" i="4" s="1"/>
  <c r="BA18" i="69"/>
  <c r="AD18" i="69"/>
  <c r="A558" i="13"/>
  <c r="AX459" i="13"/>
  <c r="H110" i="15" a="1"/>
  <c r="H110" i="15" s="1"/>
  <c r="I110" i="15" a="1"/>
  <c r="I110" i="15" s="1"/>
  <c r="G110" i="15"/>
  <c r="AO80" i="4"/>
  <c r="AN80" i="4"/>
  <c r="BJ69" i="4"/>
  <c r="BB69" i="4" s="1" a="1"/>
  <c r="BB69" i="4" s="1"/>
  <c r="BA69" i="69"/>
  <c r="AD69" i="69"/>
  <c r="AX406" i="13"/>
  <c r="A505" i="13"/>
  <c r="AO3" i="4"/>
  <c r="AN3" i="4"/>
  <c r="G172" i="15"/>
  <c r="BJ26" i="4"/>
  <c r="BB26" i="4" s="1" a="1"/>
  <c r="BB26" i="4" s="1"/>
  <c r="BA26" i="69"/>
  <c r="AD26" i="69"/>
  <c r="G269" i="15"/>
  <c r="BX21" i="4"/>
  <c r="V21" i="4"/>
  <c r="AQ21" i="4" a="1"/>
  <c r="AQ21" i="4" s="1"/>
  <c r="H21" i="69" s="1"/>
  <c r="AS21" i="4" a="1"/>
  <c r="AS21" i="4" s="1"/>
  <c r="C21" i="69" s="1"/>
  <c r="D21" i="69" s="1" a="1"/>
  <c r="D21" i="69" s="1"/>
  <c r="AR21" i="4"/>
  <c r="BN21" i="4"/>
  <c r="AN67" i="4"/>
  <c r="AO67" i="4"/>
  <c r="AX452" i="13"/>
  <c r="A551" i="13"/>
  <c r="AH63" i="69" a="1"/>
  <c r="AH63" i="69" s="1"/>
  <c r="AV401" i="13"/>
  <c r="G374" i="15"/>
  <c r="BJ48" i="4"/>
  <c r="BB48" i="4" s="1" a="1"/>
  <c r="BB48" i="4" s="1"/>
  <c r="BA48" i="69"/>
  <c r="AD48" i="69"/>
  <c r="AO85" i="4"/>
  <c r="AN85" i="4"/>
  <c r="H131" i="15" a="1"/>
  <c r="H131" i="15" s="1"/>
  <c r="I131" i="15" a="1"/>
  <c r="I131" i="15" s="1"/>
  <c r="G131" i="15"/>
  <c r="G241" i="15"/>
  <c r="BF29" i="69" a="1"/>
  <c r="BF29" i="69" s="1"/>
  <c r="AR29" i="69" a="1"/>
  <c r="AR29" i="69" s="1"/>
  <c r="AG29" i="69" a="1"/>
  <c r="AG29" i="69" s="1"/>
  <c r="AI29" i="69" a="1"/>
  <c r="AI29" i="69" s="1"/>
  <c r="AO29" i="69" a="1"/>
  <c r="AO29" i="69" s="1"/>
  <c r="AM29" i="69" a="1"/>
  <c r="AM29" i="69" s="1"/>
  <c r="AS29" i="69" a="1"/>
  <c r="AS29" i="69" s="1"/>
  <c r="AN29" i="69" a="1"/>
  <c r="AN29" i="69" s="1"/>
  <c r="AP29" i="69" a="1"/>
  <c r="AP29" i="69" s="1"/>
  <c r="AL29" i="69" a="1"/>
  <c r="AL29" i="69" s="1"/>
  <c r="AH29" i="69" a="1"/>
  <c r="AH29" i="69" s="1"/>
  <c r="G279" i="15"/>
  <c r="M36" i="14"/>
  <c r="AN9" i="4"/>
  <c r="AO9" i="4"/>
  <c r="I42" i="15" a="1"/>
  <c r="I42" i="15" s="1"/>
  <c r="I40" i="15" s="1"/>
  <c r="BJ63" i="4"/>
  <c r="BB63" i="4" s="1" a="1"/>
  <c r="BB63" i="4" s="1"/>
  <c r="BA63" i="69"/>
  <c r="AD63" i="69"/>
  <c r="BJ49" i="4"/>
  <c r="BB49" i="4" s="1" a="1"/>
  <c r="BB49" i="4" s="1"/>
  <c r="BA49" i="69"/>
  <c r="AD49" i="69"/>
  <c r="BJ23" i="4"/>
  <c r="BB23" i="4" s="1" a="1"/>
  <c r="BB23" i="4" s="1"/>
  <c r="BA23" i="69"/>
  <c r="AD23" i="69"/>
  <c r="AO81" i="69" a="1"/>
  <c r="AO81" i="69" s="1"/>
  <c r="AM81" i="69" a="1"/>
  <c r="AM81" i="69" s="1"/>
  <c r="AI81" i="69" a="1"/>
  <c r="AI81" i="69" s="1"/>
  <c r="AN81" i="69" a="1"/>
  <c r="AN81" i="69" s="1"/>
  <c r="AG81" i="69" a="1"/>
  <c r="AG81" i="69" s="1"/>
  <c r="AS81" i="69" a="1"/>
  <c r="AS81" i="69" s="1"/>
  <c r="AR81" i="69" a="1"/>
  <c r="AR81" i="69" s="1"/>
  <c r="AP81" i="69" a="1"/>
  <c r="AP81" i="69" s="1"/>
  <c r="BF87" i="69" a="1"/>
  <c r="BF87" i="69" s="1"/>
  <c r="G399" i="15"/>
  <c r="AX464" i="13"/>
  <c r="A563" i="13"/>
  <c r="BJ75" i="4"/>
  <c r="BB75" i="4" s="1" a="1"/>
  <c r="BB75" i="4" s="1"/>
  <c r="BA75" i="69"/>
  <c r="AD75" i="69"/>
  <c r="AX255" i="13"/>
  <c r="A354" i="13"/>
  <c r="U90" i="69" s="1" a="1"/>
  <c r="U90" i="69" s="1"/>
  <c r="AO92" i="69" a="1"/>
  <c r="AO92" i="69" s="1"/>
  <c r="AN71" i="4"/>
  <c r="AO71" i="4"/>
  <c r="U34" i="69" a="1"/>
  <c r="U34" i="69" s="1"/>
  <c r="U27" i="69" a="1"/>
  <c r="U27" i="69" s="1"/>
  <c r="BJ78" i="4"/>
  <c r="BB78" i="4" s="1" a="1"/>
  <c r="BB78" i="4" s="1"/>
  <c r="BA78" i="69"/>
  <c r="AD78" i="69"/>
  <c r="G108" i="15"/>
  <c r="G426" i="15"/>
  <c r="BJ16" i="4"/>
  <c r="BB16" i="4" s="1" a="1"/>
  <c r="BB16" i="4" s="1"/>
  <c r="BA16" i="69"/>
  <c r="AD16" i="69"/>
  <c r="BC73" i="69"/>
  <c r="O73" i="69"/>
  <c r="BJ57" i="4"/>
  <c r="BB57" i="4" s="1" a="1"/>
  <c r="BB57" i="4" s="1"/>
  <c r="BA57" i="69"/>
  <c r="AD57" i="69"/>
  <c r="AR5" i="69" a="1"/>
  <c r="AR5" i="69" s="1"/>
  <c r="AG5" i="69" a="1"/>
  <c r="AG5" i="69" s="1"/>
  <c r="AM5" i="69" a="1"/>
  <c r="AM5" i="69" s="1"/>
  <c r="AI5" i="69" a="1"/>
  <c r="AI5" i="69" s="1"/>
  <c r="AS5" i="69" a="1"/>
  <c r="AS5" i="69" s="1"/>
  <c r="AO5" i="69" a="1"/>
  <c r="AO5" i="69" s="1"/>
  <c r="AN5" i="69" a="1"/>
  <c r="AN5" i="69" s="1"/>
  <c r="AP5" i="69" a="1"/>
  <c r="AP5" i="69" s="1"/>
  <c r="AH5" i="69" a="1"/>
  <c r="AH5" i="69" s="1"/>
  <c r="BF5" i="69" a="1"/>
  <c r="BF5" i="69" s="1"/>
  <c r="AL5" i="69" a="1"/>
  <c r="AL5" i="69" s="1"/>
  <c r="AO51" i="4"/>
  <c r="AN51" i="4"/>
  <c r="AN46" i="4"/>
  <c r="AO46" i="4"/>
  <c r="G423" i="15"/>
  <c r="BJ17" i="4"/>
  <c r="BB17" i="4" s="1" a="1"/>
  <c r="BB17" i="4" s="1"/>
  <c r="BA17" i="69"/>
  <c r="AD17" i="69"/>
  <c r="A888" i="13"/>
  <c r="AX789" i="13"/>
  <c r="AO15" i="4"/>
  <c r="AN15" i="4"/>
  <c r="AL67" i="69" a="1"/>
  <c r="AL67" i="69" s="1"/>
  <c r="H475" i="15" a="1"/>
  <c r="H475" i="15" s="1"/>
  <c r="I475" i="15" a="1"/>
  <c r="I475" i="15" s="1"/>
  <c r="G475" i="15"/>
  <c r="G469" i="15"/>
  <c r="A523" i="13"/>
  <c r="AX424" i="13"/>
  <c r="AO57" i="4"/>
  <c r="AN57" i="4"/>
  <c r="AO10" i="4"/>
  <c r="AN10" i="4"/>
  <c r="BC29" i="69"/>
  <c r="O29" i="69"/>
  <c r="G282" i="15"/>
  <c r="BJ3" i="4"/>
  <c r="AD3" i="69"/>
  <c r="BA3" i="69"/>
  <c r="AN26" i="4"/>
  <c r="AO26" i="4"/>
  <c r="O91" i="69"/>
  <c r="BC91" i="69"/>
  <c r="F36" i="14"/>
  <c r="G209" i="15"/>
  <c r="BJ65" i="4"/>
  <c r="BB65" i="4" s="1" a="1"/>
  <c r="BB65" i="4" s="1"/>
  <c r="BA65" i="69"/>
  <c r="AD65" i="69"/>
  <c r="A528" i="13"/>
  <c r="AX429" i="13"/>
  <c r="AO88" i="69" a="1"/>
  <c r="AO88" i="69" s="1"/>
  <c r="AX469" i="13"/>
  <c r="A568" i="13"/>
  <c r="A587" i="13"/>
  <c r="AX488" i="13"/>
  <c r="L36" i="14"/>
  <c r="A575" i="13"/>
  <c r="AX476" i="13"/>
  <c r="G120" i="15"/>
  <c r="AO48" i="4"/>
  <c r="AN48" i="4"/>
  <c r="BJ85" i="4"/>
  <c r="BB85" i="4" s="1" a="1"/>
  <c r="BB85" i="4" s="1"/>
  <c r="BA85" i="69"/>
  <c r="AD85" i="69"/>
  <c r="BJ59" i="69"/>
  <c r="BG59" i="69"/>
  <c r="W36" i="14"/>
  <c r="AN84" i="69" a="1"/>
  <c r="AN84" i="69" s="1"/>
  <c r="BF28" i="69" a="1"/>
  <c r="BF28" i="69" s="1"/>
  <c r="AI28" i="69" a="1"/>
  <c r="AI28" i="69" s="1"/>
  <c r="AM28" i="69" a="1"/>
  <c r="AM28" i="69" s="1"/>
  <c r="AR28" i="69" a="1"/>
  <c r="AR28" i="69" s="1"/>
  <c r="AS28" i="69" a="1"/>
  <c r="AS28" i="69" s="1"/>
  <c r="AO28" i="69" a="1"/>
  <c r="AO28" i="69" s="1"/>
  <c r="AN28" i="69" a="1"/>
  <c r="AN28" i="69" s="1"/>
  <c r="AG28" i="69" a="1"/>
  <c r="AG28" i="69" s="1"/>
  <c r="AP28" i="69" a="1"/>
  <c r="AP28" i="69" s="1"/>
  <c r="AL28" i="69" a="1"/>
  <c r="AL28" i="69" s="1"/>
  <c r="AH28" i="69" a="1"/>
  <c r="AH28" i="69" s="1"/>
  <c r="A566" i="13"/>
  <c r="AX467" i="13"/>
  <c r="AS95" i="69" a="1"/>
  <c r="AS95" i="69" s="1"/>
  <c r="AR95" i="69" a="1"/>
  <c r="AR95" i="69" s="1"/>
  <c r="AM95" i="69" a="1"/>
  <c r="AM95" i="69" s="1"/>
  <c r="AI95" i="69" a="1"/>
  <c r="AI95" i="69" s="1"/>
  <c r="AO95" i="69" a="1"/>
  <c r="AO95" i="69" s="1"/>
  <c r="AP95" i="69" a="1"/>
  <c r="AP95" i="69" s="1"/>
  <c r="AG95" i="69" a="1"/>
  <c r="AG95" i="69" s="1"/>
  <c r="AO5" i="4"/>
  <c r="AN5" i="4"/>
  <c r="G296" i="15"/>
  <c r="AN63" i="4"/>
  <c r="AO63" i="4"/>
  <c r="AN59" i="4"/>
  <c r="AO59" i="4"/>
  <c r="AO79" i="4"/>
  <c r="AN79" i="4"/>
  <c r="AX437" i="13"/>
  <c r="A536" i="13"/>
  <c r="BJ42" i="4"/>
  <c r="BB42" i="4" s="1" a="1"/>
  <c r="BB42" i="4" s="1"/>
  <c r="BA42" i="69"/>
  <c r="AD42" i="69"/>
  <c r="BJ36" i="4"/>
  <c r="BB36" i="4" s="1" a="1"/>
  <c r="BB36" i="4" s="1"/>
  <c r="BA36" i="69"/>
  <c r="AD36" i="69"/>
  <c r="U54" i="69" a="1"/>
  <c r="U54" i="69" s="1"/>
  <c r="U33" i="69" a="1"/>
  <c r="U33" i="69" s="1"/>
  <c r="A500" i="13"/>
  <c r="AX401" i="13"/>
  <c r="AL53" i="69" a="1"/>
  <c r="AL53" i="69" s="1"/>
  <c r="AG53" i="69" a="1"/>
  <c r="AG53" i="69" s="1"/>
  <c r="AS53" i="69" a="1"/>
  <c r="AS53" i="69" s="1"/>
  <c r="AR53" i="69" a="1"/>
  <c r="AR53" i="69" s="1"/>
  <c r="AM53" i="69" a="1"/>
  <c r="AM53" i="69" s="1"/>
  <c r="AO53" i="69" a="1"/>
  <c r="AO53" i="69" s="1"/>
  <c r="AN53" i="69" a="1"/>
  <c r="AN53" i="69" s="1"/>
  <c r="AI53" i="69" a="1"/>
  <c r="AI53" i="69" s="1"/>
  <c r="AP53" i="69" a="1"/>
  <c r="AP53" i="69" s="1"/>
  <c r="BF53" i="69" a="1"/>
  <c r="BF53" i="69" s="1"/>
  <c r="AH53" i="69" a="1"/>
  <c r="AH53" i="69" s="1"/>
  <c r="AN76" i="4"/>
  <c r="AO76" i="4"/>
  <c r="AO66" i="69" a="1"/>
  <c r="AO66" i="69" s="1"/>
  <c r="G142" i="15"/>
  <c r="G107" i="15"/>
  <c r="G406" i="15"/>
  <c r="A580" i="13"/>
  <c r="AX481" i="13"/>
  <c r="BJ82" i="69"/>
  <c r="BG82" i="69"/>
  <c r="BJ15" i="4"/>
  <c r="BB15" i="4" s="1" a="1"/>
  <c r="BB15" i="4" s="1"/>
  <c r="BA15" i="69"/>
  <c r="AD15" i="69"/>
  <c r="AX472" i="13"/>
  <c r="A571" i="13"/>
  <c r="G185" i="15"/>
  <c r="G179" i="15"/>
  <c r="A588" i="13"/>
  <c r="AX489" i="13"/>
  <c r="BJ80" i="4"/>
  <c r="BB80" i="4" s="1" a="1"/>
  <c r="BB80" i="4" s="1"/>
  <c r="BA80" i="69"/>
  <c r="AD80" i="69"/>
  <c r="AN69" i="4"/>
  <c r="AO69" i="4"/>
  <c r="BJ46" i="4"/>
  <c r="BB46" i="4" s="1" a="1"/>
  <c r="BB46" i="4" s="1"/>
  <c r="BA46" i="69"/>
  <c r="AD46" i="69"/>
  <c r="AH42" i="69" a="1"/>
  <c r="AH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O42" i="69" a="1"/>
  <c r="AO42" i="69" s="1"/>
  <c r="AP42" i="69" a="1"/>
  <c r="AP42" i="69" s="1"/>
  <c r="AL42" i="69" a="1"/>
  <c r="AL42" i="69" s="1"/>
  <c r="BF42" i="69" a="1"/>
  <c r="BF42" i="69" s="1"/>
  <c r="AM93" i="69" a="1"/>
  <c r="AM93" i="69" s="1"/>
  <c r="AG93" i="69" a="1"/>
  <c r="AG93" i="69" s="1"/>
  <c r="AF93" i="69" s="1" a="1"/>
  <c r="AF93" i="69" s="1"/>
  <c r="AR93" i="69" a="1"/>
  <c r="AR93" i="69" s="1"/>
  <c r="AI93" i="69" a="1"/>
  <c r="AI93" i="69" s="1"/>
  <c r="AN93" i="69" a="1"/>
  <c r="AN93" i="69" s="1"/>
  <c r="AS93" i="69" a="1"/>
  <c r="AS93" i="69" s="1"/>
  <c r="AO93" i="69" a="1"/>
  <c r="AO93" i="69" s="1"/>
  <c r="AP93" i="69" a="1"/>
  <c r="AP93" i="69" s="1"/>
  <c r="W60" i="14"/>
  <c r="F60" i="14"/>
  <c r="N60" i="14"/>
  <c r="I60" i="14"/>
  <c r="Q60" i="14"/>
  <c r="M60" i="14"/>
  <c r="P60" i="14"/>
  <c r="G60" i="14"/>
  <c r="Y60" i="14"/>
  <c r="H60" i="14"/>
  <c r="O60" i="14"/>
  <c r="L60" i="14"/>
  <c r="K60" i="14"/>
  <c r="U60" i="14"/>
  <c r="E57" i="14"/>
  <c r="T60" i="14"/>
  <c r="V60" i="14"/>
  <c r="R60" i="14"/>
  <c r="S60" i="14"/>
  <c r="X60" i="14"/>
  <c r="Z60" i="14"/>
  <c r="J60" i="14"/>
  <c r="Z36" i="14"/>
  <c r="G442" i="15"/>
  <c r="AG21" i="69" a="1"/>
  <c r="AG21" i="69" s="1"/>
  <c r="AM21" i="69" a="1"/>
  <c r="AM21" i="69" s="1"/>
  <c r="AR21" i="69" a="1"/>
  <c r="AR21" i="69" s="1"/>
  <c r="AN21" i="69" a="1"/>
  <c r="AN21" i="69" s="1"/>
  <c r="AS21" i="69" a="1"/>
  <c r="AS21" i="69" s="1"/>
  <c r="AO21" i="69" a="1"/>
  <c r="AO21" i="69" s="1"/>
  <c r="AP21" i="69" a="1"/>
  <c r="AP21" i="69" s="1"/>
  <c r="BF21" i="69" a="1"/>
  <c r="BF21" i="69" s="1"/>
  <c r="AL21" i="69" a="1"/>
  <c r="AL21" i="69" s="1"/>
  <c r="AH21" i="69" a="1"/>
  <c r="AH21" i="69" s="1"/>
  <c r="AO64" i="4"/>
  <c r="AN64" i="4"/>
  <c r="AO65" i="4"/>
  <c r="AN65" i="4"/>
  <c r="H76" i="15" a="1"/>
  <c r="H76" i="15" s="1"/>
  <c r="I76" i="15" a="1"/>
  <c r="I76" i="15" s="1"/>
  <c r="G76" i="15"/>
  <c r="BJ63" i="69"/>
  <c r="BG63" i="69"/>
  <c r="AX455" i="13"/>
  <c r="A554" i="13"/>
  <c r="AX444" i="13"/>
  <c r="A543" i="13"/>
  <c r="BJ28" i="4"/>
  <c r="BB28" i="4" s="1" a="1"/>
  <c r="BB28" i="4" s="1"/>
  <c r="BA28" i="69"/>
  <c r="AD28" i="69"/>
  <c r="AX415" i="13"/>
  <c r="A514" i="13"/>
  <c r="O72" i="69"/>
  <c r="BC72" i="69"/>
  <c r="BF90" i="69" a="1"/>
  <c r="BF90" i="69" s="1"/>
  <c r="AX418" i="13"/>
  <c r="A517" i="13"/>
  <c r="AQ60" i="69" a="1"/>
  <c r="AQ60" i="69" s="1"/>
  <c r="AO12" i="4"/>
  <c r="AN12" i="4"/>
  <c r="AN36" i="4"/>
  <c r="AO36" i="4"/>
  <c r="G401" i="15"/>
  <c r="CQ96" i="4"/>
  <c r="U53" i="69" a="1"/>
  <c r="U53" i="69" s="1"/>
  <c r="U52" i="69" a="1"/>
  <c r="U52" i="69" s="1"/>
  <c r="U42" i="69" a="1"/>
  <c r="U42" i="69" s="1"/>
  <c r="U32" i="69" a="1"/>
  <c r="U32" i="69" s="1"/>
  <c r="AO78" i="4"/>
  <c r="AN78" i="4"/>
  <c r="BJ76" i="69"/>
  <c r="BG76" i="69"/>
  <c r="AO85" i="69" a="1"/>
  <c r="AO85" i="69" s="1"/>
  <c r="G81" i="15"/>
  <c r="AH78" i="69" a="1"/>
  <c r="AH78" i="69" s="1"/>
  <c r="G270" i="15"/>
  <c r="AN81" i="4"/>
  <c r="AO81" i="4"/>
  <c r="AN89" i="4"/>
  <c r="AO89" i="4"/>
  <c r="A540" i="13"/>
  <c r="AX441" i="13"/>
  <c r="O69" i="69"/>
  <c r="BC69" i="69"/>
  <c r="BJ10" i="4"/>
  <c r="BB10" i="4" s="1" a="1"/>
  <c r="BB10" i="4" s="1"/>
  <c r="AD10" i="69"/>
  <c r="BA10" i="69"/>
  <c r="BJ24" i="4"/>
  <c r="BB24" i="4" s="1" a="1"/>
  <c r="BB24" i="4" s="1"/>
  <c r="BA24" i="69"/>
  <c r="AD24" i="69"/>
  <c r="G311" i="15"/>
  <c r="AX461" i="13"/>
  <c r="A560" i="13"/>
  <c r="A553" i="13"/>
  <c r="AX454" i="13"/>
  <c r="G462" i="15"/>
  <c r="G472" i="15"/>
  <c r="BJ64" i="4"/>
  <c r="BB64" i="4" s="1" a="1"/>
  <c r="BB64" i="4" s="1"/>
  <c r="BA64" i="69"/>
  <c r="AD64" i="69"/>
  <c r="AX405" i="13"/>
  <c r="A504" i="13"/>
  <c r="AH40" i="69" a="1"/>
  <c r="AH40" i="69" s="1"/>
  <c r="AR40" i="69" a="1"/>
  <c r="AR40" i="69" s="1"/>
  <c r="AG40" i="69" a="1"/>
  <c r="AG40" i="69" s="1"/>
  <c r="AN40" i="69" a="1"/>
  <c r="AN40" i="69" s="1"/>
  <c r="AI40" i="69" a="1"/>
  <c r="AI40" i="69" s="1"/>
  <c r="AO40" i="69" a="1"/>
  <c r="AO40" i="69" s="1"/>
  <c r="AM40" i="69" a="1"/>
  <c r="AM40" i="69" s="1"/>
  <c r="AS40" i="69" a="1"/>
  <c r="AS40" i="69" s="1"/>
  <c r="AP40" i="69" a="1"/>
  <c r="AP40" i="69" s="1"/>
  <c r="AL40" i="69" a="1"/>
  <c r="AL40" i="69" s="1"/>
  <c r="BF40" i="69" a="1"/>
  <c r="BF40" i="69" s="1"/>
  <c r="AX447" i="13"/>
  <c r="A546" i="13"/>
  <c r="AX413" i="13"/>
  <c r="A512" i="13"/>
  <c r="BC60" i="69"/>
  <c r="O60" i="69"/>
  <c r="A510" i="13"/>
  <c r="AX411" i="13"/>
  <c r="G233" i="15"/>
  <c r="G434" i="15"/>
  <c r="AX475" i="13"/>
  <c r="A574" i="13"/>
  <c r="BJ90" i="4"/>
  <c r="BB90" i="4" s="1" a="1"/>
  <c r="BB90" i="4" s="1"/>
  <c r="BA90" i="69"/>
  <c r="AD90" i="69"/>
  <c r="BJ25" i="4"/>
  <c r="BB25" i="4" s="1" a="1"/>
  <c r="BB25" i="4" s="1"/>
  <c r="BA25" i="69"/>
  <c r="AD25" i="69"/>
  <c r="BJ5" i="4"/>
  <c r="BB5" i="4" s="1" a="1"/>
  <c r="BB5" i="4" s="1"/>
  <c r="BO106" i="4"/>
  <c r="BO103" i="4"/>
  <c r="Z1738" i="13" s="1"/>
  <c r="BO105" i="4"/>
  <c r="BO102" i="4"/>
  <c r="Z1718" i="13" s="1"/>
  <c r="BA5" i="69"/>
  <c r="AD5" i="69"/>
  <c r="BJ45" i="4"/>
  <c r="BB45" i="4" s="1" a="1"/>
  <c r="BB45" i="4" s="1"/>
  <c r="BA45" i="69"/>
  <c r="AD45" i="69"/>
  <c r="F19" i="27"/>
  <c r="BG94" i="69"/>
  <c r="BJ59" i="4"/>
  <c r="BB59" i="4" s="1" a="1"/>
  <c r="BB59" i="4" s="1"/>
  <c r="BA59" i="69"/>
  <c r="AD59" i="69"/>
  <c r="AO83" i="4"/>
  <c r="AN83" i="4"/>
  <c r="AH90" i="69" a="1"/>
  <c r="AH90" i="69" s="1"/>
  <c r="BJ79" i="4"/>
  <c r="BB79" i="4" s="1" a="1"/>
  <c r="BB79" i="4" s="1"/>
  <c r="BA79" i="69"/>
  <c r="AD79" i="69"/>
  <c r="BJ12" i="4"/>
  <c r="BB12" i="4" s="1" a="1"/>
  <c r="BB12" i="4" s="1"/>
  <c r="BA12" i="69"/>
  <c r="AD12" i="69"/>
  <c r="AO42" i="4"/>
  <c r="AN42" i="4"/>
  <c r="AX465" i="13"/>
  <c r="A564" i="13"/>
  <c r="AX408" i="13"/>
  <c r="A507" i="13"/>
  <c r="G414" i="15"/>
  <c r="U41" i="69" a="1"/>
  <c r="U41" i="69" s="1"/>
  <c r="U25" i="69" a="1"/>
  <c r="U25" i="69" s="1"/>
  <c r="U35" i="69" a="1"/>
  <c r="U35" i="69" s="1"/>
  <c r="AH67" i="69" a="1"/>
  <c r="AH67" i="69" s="1"/>
  <c r="BJ44" i="4"/>
  <c r="BB44" i="4" s="1" a="1"/>
  <c r="BB44" i="4" s="1"/>
  <c r="BA44" i="69"/>
  <c r="AD44" i="69"/>
  <c r="G359" i="15"/>
  <c r="BJ66" i="4"/>
  <c r="BB66" i="4" s="1" a="1"/>
  <c r="BB66" i="4" s="1"/>
  <c r="BA66" i="69"/>
  <c r="AD66" i="69"/>
  <c r="AG67" i="69" a="1"/>
  <c r="AG67" i="69" s="1"/>
  <c r="BG88" i="69"/>
  <c r="BG80" i="69"/>
  <c r="BG77" i="69"/>
  <c r="AN74" i="69" a="1"/>
  <c r="AN74" i="69" s="1"/>
  <c r="G210" i="15"/>
  <c r="BJ93" i="4"/>
  <c r="BB93" i="4" s="1" a="1"/>
  <c r="BB93" i="4" s="1"/>
  <c r="BA93" i="69"/>
  <c r="AD93" i="69"/>
  <c r="AM15" i="69" a="1"/>
  <c r="AM15" i="69" s="1"/>
  <c r="AI15" i="69" a="1"/>
  <c r="AI15" i="69" s="1"/>
  <c r="AO15" i="69" a="1"/>
  <c r="AO15" i="69" s="1"/>
  <c r="AR15" i="69" a="1"/>
  <c r="AR15" i="69" s="1"/>
  <c r="AS15" i="69" a="1"/>
  <c r="AS15" i="69" s="1"/>
  <c r="AG15" i="69" a="1"/>
  <c r="AG15" i="69" s="1"/>
  <c r="AN15" i="69" a="1"/>
  <c r="AN15" i="69" s="1"/>
  <c r="AP15" i="69" a="1"/>
  <c r="AP15" i="69" s="1"/>
  <c r="AL15" i="69" a="1"/>
  <c r="AL15" i="69" s="1"/>
  <c r="BF15" i="69" a="1"/>
  <c r="BF15" i="69" s="1"/>
  <c r="AH15" i="69" a="1"/>
  <c r="AH15" i="69" s="1"/>
  <c r="BJ81" i="4"/>
  <c r="BB81" i="4" s="1" a="1"/>
  <c r="BB81" i="4" s="1"/>
  <c r="BA81" i="69"/>
  <c r="AD81" i="69"/>
  <c r="CV96" i="4"/>
  <c r="A533" i="13"/>
  <c r="AX434" i="13"/>
  <c r="AX483" i="13"/>
  <c r="A582" i="13"/>
  <c r="BJ87" i="4"/>
  <c r="BB87" i="4" s="1" a="1"/>
  <c r="BB87" i="4" s="1"/>
  <c r="BA87" i="69"/>
  <c r="AD87" i="69"/>
  <c r="BG65" i="69"/>
  <c r="G433" i="15"/>
  <c r="AX439" i="13"/>
  <c r="A538" i="13"/>
  <c r="G479" i="15"/>
  <c r="G376" i="15"/>
  <c r="G247" i="15"/>
  <c r="G420" i="15"/>
  <c r="AN24" i="4"/>
  <c r="AO24" i="4"/>
  <c r="AX440" i="13"/>
  <c r="A539" i="13"/>
  <c r="A576" i="13"/>
  <c r="AX477" i="13"/>
  <c r="Q36" i="14"/>
  <c r="X32" i="27"/>
  <c r="X24" i="27"/>
  <c r="X35" i="27"/>
  <c r="X25" i="27"/>
  <c r="X34" i="27"/>
  <c r="X22" i="27"/>
  <c r="X31" i="27"/>
  <c r="X37" i="27"/>
  <c r="X28" i="27"/>
  <c r="X33" i="27"/>
  <c r="X29" i="27"/>
  <c r="X21" i="27"/>
  <c r="T20" i="27"/>
  <c r="X20" i="27" s="1"/>
  <c r="X36" i="27"/>
  <c r="X27" i="27"/>
  <c r="X30" i="27"/>
  <c r="X26" i="27"/>
  <c r="X23" i="27"/>
  <c r="G429" i="15"/>
  <c r="H362" i="15" a="1"/>
  <c r="H362" i="15" s="1"/>
  <c r="I362" i="15" a="1"/>
  <c r="I362" i="15" s="1"/>
  <c r="G362" i="15"/>
  <c r="AX404" i="13"/>
  <c r="A503" i="13"/>
  <c r="A572" i="13"/>
  <c r="AX473" i="13"/>
  <c r="G36" i="14"/>
  <c r="AN28" i="4"/>
  <c r="AO28" i="4"/>
  <c r="AX426" i="13"/>
  <c r="A525" i="13"/>
  <c r="AN25" i="4"/>
  <c r="AO25" i="4"/>
  <c r="BJ47" i="4"/>
  <c r="BB47" i="4" s="1" a="1"/>
  <c r="BB47" i="4" s="1"/>
  <c r="BA47" i="69"/>
  <c r="AD47" i="69"/>
  <c r="A529" i="13"/>
  <c r="AX430" i="13"/>
  <c r="AO45" i="4"/>
  <c r="AN45" i="4"/>
  <c r="BJ72" i="4"/>
  <c r="BB72" i="4" s="1" a="1"/>
  <c r="BB72" i="4" s="1"/>
  <c r="BA72" i="69"/>
  <c r="AD72" i="69"/>
  <c r="BJ83" i="4"/>
  <c r="BB83" i="4" s="1" a="1"/>
  <c r="BB83" i="4" s="1"/>
  <c r="BA83" i="69"/>
  <c r="AD83" i="69"/>
  <c r="AN70" i="69" a="1"/>
  <c r="AN70" i="69" s="1"/>
  <c r="BC55" i="4"/>
  <c r="BC96" i="4" s="1"/>
  <c r="BQ55" i="4"/>
  <c r="BQ96" i="4" s="1"/>
  <c r="E96" i="4"/>
  <c r="AX104" i="4" s="1"/>
  <c r="C1744" i="13" s="1"/>
  <c r="AL31" i="69" a="1"/>
  <c r="AL31" i="69" s="1"/>
  <c r="AR31" i="69" a="1"/>
  <c r="AR31" i="69" s="1"/>
  <c r="AO31" i="69" a="1"/>
  <c r="AO31" i="69" s="1"/>
  <c r="AN31" i="69" a="1"/>
  <c r="AN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H31" i="69" a="1"/>
  <c r="AH31" i="69" s="1"/>
  <c r="BF31" i="69" a="1"/>
  <c r="BF31" i="69" s="1"/>
  <c r="U50" i="69" a="1"/>
  <c r="U50" i="69" s="1"/>
  <c r="U28" i="69" a="1"/>
  <c r="U28" i="69" s="1"/>
  <c r="U45" i="69" a="1"/>
  <c r="U45" i="69" s="1"/>
  <c r="U23" i="69" a="1"/>
  <c r="U23" i="69" s="1"/>
  <c r="U36" i="69" a="1"/>
  <c r="U36" i="69" s="1"/>
  <c r="G226" i="15"/>
  <c r="AO44" i="4"/>
  <c r="AN44" i="4"/>
  <c r="AO40" i="4"/>
  <c r="AN40" i="4"/>
  <c r="BG90" i="69"/>
  <c r="G166" i="15"/>
  <c r="AO72" i="69" a="1"/>
  <c r="AO72" i="69" s="1"/>
  <c r="AO65" i="69" a="1"/>
  <c r="AO65" i="69" s="1"/>
  <c r="G250" i="15"/>
  <c r="G235" i="15"/>
  <c r="AE55" i="4"/>
  <c r="AT55" i="69"/>
  <c r="AN86" i="4"/>
  <c r="AO86" i="4"/>
  <c r="AO16" i="4"/>
  <c r="AN16" i="4"/>
  <c r="O50" i="69"/>
  <c r="BC50" i="69"/>
  <c r="AO37" i="4"/>
  <c r="AN37" i="4"/>
  <c r="AX466" i="13"/>
  <c r="A565" i="13"/>
  <c r="AW21" i="69"/>
  <c r="AX21" i="69"/>
  <c r="BG21" i="69"/>
  <c r="AO33" i="4"/>
  <c r="AN33" i="4"/>
  <c r="AX403" i="13"/>
  <c r="A502" i="13"/>
  <c r="BJ33" i="4"/>
  <c r="BB33" i="4" s="1" a="1"/>
  <c r="BB33" i="4" s="1"/>
  <c r="BA33" i="69"/>
  <c r="AD33" i="69"/>
  <c r="AN93" i="4"/>
  <c r="AO93" i="4"/>
  <c r="AM6" i="69" a="1"/>
  <c r="AM6" i="69" s="1"/>
  <c r="AN6" i="69" a="1"/>
  <c r="AN6" i="69" s="1"/>
  <c r="AS6" i="69" a="1"/>
  <c r="AS6" i="69" s="1"/>
  <c r="AG6" i="69" a="1"/>
  <c r="AG6" i="69" s="1"/>
  <c r="AO6" i="69" a="1"/>
  <c r="AO6" i="69" s="1"/>
  <c r="AR6" i="69" a="1"/>
  <c r="AR6" i="69" s="1"/>
  <c r="AI6" i="69" a="1"/>
  <c r="AI6" i="69" s="1"/>
  <c r="AP6" i="69" a="1"/>
  <c r="AP6" i="69" s="1"/>
  <c r="AL6" i="69" a="1"/>
  <c r="AL6" i="69" s="1"/>
  <c r="BF6" i="69" a="1"/>
  <c r="BF6" i="69" s="1"/>
  <c r="AH6" i="69" a="1"/>
  <c r="AH6" i="69" s="1"/>
  <c r="BJ89" i="4"/>
  <c r="BB89" i="4" s="1" a="1"/>
  <c r="BB89" i="4" s="1"/>
  <c r="BA89" i="69"/>
  <c r="AD89" i="69"/>
  <c r="BF52" i="69" a="1"/>
  <c r="BF52" i="69" s="1"/>
  <c r="AO52" i="69" a="1"/>
  <c r="AO52" i="69" s="1"/>
  <c r="AN52" i="69" a="1"/>
  <c r="AN52" i="69" s="1"/>
  <c r="AS52" i="69" a="1"/>
  <c r="AS52" i="69" s="1"/>
  <c r="AR52" i="69" a="1"/>
  <c r="AR52" i="69" s="1"/>
  <c r="AM52" i="69" a="1"/>
  <c r="AM52" i="69" s="1"/>
  <c r="AG52" i="69" a="1"/>
  <c r="AG52" i="69" s="1"/>
  <c r="AI52" i="69" a="1"/>
  <c r="AI52" i="69" s="1"/>
  <c r="AP52" i="69" a="1"/>
  <c r="AP52" i="69" s="1"/>
  <c r="AL52" i="69" a="1"/>
  <c r="AL52" i="69" s="1"/>
  <c r="AH52" i="69" a="1"/>
  <c r="AH52" i="69" s="1"/>
  <c r="AL62" i="69" a="1"/>
  <c r="AL62" i="69" s="1"/>
  <c r="AM62" i="69" a="1"/>
  <c r="AM62" i="69" s="1"/>
  <c r="AR62" i="69" a="1"/>
  <c r="AR62" i="69" s="1"/>
  <c r="AG62" i="69" a="1"/>
  <c r="AG62" i="69" s="1"/>
  <c r="AN62" i="69" a="1"/>
  <c r="AN62" i="69" s="1"/>
  <c r="AO62" i="69" a="1"/>
  <c r="AO62" i="69" s="1"/>
  <c r="AS62" i="69" a="1"/>
  <c r="AS62" i="69" s="1"/>
  <c r="AI62" i="69" a="1"/>
  <c r="AI62" i="69" s="1"/>
  <c r="AP62" i="69" a="1"/>
  <c r="AP62" i="69" s="1"/>
  <c r="G257" i="15"/>
  <c r="AO87" i="4"/>
  <c r="AN87" i="4"/>
  <c r="AX471" i="13"/>
  <c r="A570" i="13"/>
  <c r="BJ6" i="4"/>
  <c r="BB6" i="4" s="1" a="1"/>
  <c r="BB6" i="4" s="1"/>
  <c r="AD6" i="69"/>
  <c r="BA6" i="69"/>
  <c r="A515" i="13"/>
  <c r="AX416" i="13"/>
  <c r="G305" i="15"/>
  <c r="AX449" i="13"/>
  <c r="A548" i="13"/>
  <c r="A562" i="13"/>
  <c r="AX463" i="13"/>
  <c r="G349" i="15"/>
  <c r="BJ14" i="4"/>
  <c r="BB14" i="4" s="1" a="1"/>
  <c r="BB14" i="4" s="1"/>
  <c r="BA14" i="69"/>
  <c r="AD14" i="69"/>
  <c r="AX462" i="13"/>
  <c r="A561" i="13"/>
  <c r="AN35" i="4"/>
  <c r="AO35" i="4"/>
  <c r="A589" i="13"/>
  <c r="AX490" i="13"/>
  <c r="BJ27" i="4"/>
  <c r="BB27" i="4" s="1" a="1"/>
  <c r="BB27" i="4" s="1"/>
  <c r="BA27" i="69"/>
  <c r="AD27" i="69"/>
  <c r="AX359" i="13"/>
  <c r="A458" i="13"/>
  <c r="BC62" i="69"/>
  <c r="O62" i="69"/>
  <c r="G483" i="15"/>
  <c r="AR87" i="69" a="1"/>
  <c r="AR87" i="69" s="1"/>
  <c r="AO87" i="69" a="1"/>
  <c r="AO87" i="69" s="1"/>
  <c r="AM87" i="69" a="1"/>
  <c r="AM87" i="69" s="1"/>
  <c r="AG87" i="69" a="1"/>
  <c r="AG87" i="69" s="1"/>
  <c r="AS87" i="69" a="1"/>
  <c r="AS87" i="69" s="1"/>
  <c r="AI87" i="69" a="1"/>
  <c r="AI87" i="69" s="1"/>
  <c r="AN87" i="69" a="1"/>
  <c r="AN87" i="69" s="1"/>
  <c r="AP87" i="69" a="1"/>
  <c r="AP87" i="69" s="1"/>
  <c r="AO62" i="4"/>
  <c r="AN62" i="4"/>
  <c r="AO90" i="4"/>
  <c r="AN90" i="4"/>
  <c r="A586" i="13"/>
  <c r="AX487" i="13"/>
  <c r="AL30" i="69" a="1"/>
  <c r="AL30" i="69" s="1"/>
  <c r="AN30" i="69" a="1"/>
  <c r="AN30" i="69" s="1"/>
  <c r="AS30" i="69" a="1"/>
  <c r="AS30" i="69" s="1"/>
  <c r="AM30" i="69" a="1"/>
  <c r="AM30" i="69" s="1"/>
  <c r="AR30" i="69" a="1"/>
  <c r="AR30" i="69" s="1"/>
  <c r="AG30" i="69" a="1"/>
  <c r="AG30" i="69" s="1"/>
  <c r="AO30" i="69" a="1"/>
  <c r="AO30" i="69" s="1"/>
  <c r="AI30" i="69" a="1"/>
  <c r="AI30" i="69" s="1"/>
  <c r="AP30" i="69" a="1"/>
  <c r="AP30" i="69" s="1"/>
  <c r="AH30" i="69" a="1"/>
  <c r="AH30" i="69" s="1"/>
  <c r="BF30" i="69" a="1"/>
  <c r="BF30" i="69" s="1"/>
  <c r="AO47" i="4"/>
  <c r="AN47" i="4"/>
  <c r="G447" i="15"/>
  <c r="BF95" i="69" a="1"/>
  <c r="BF95" i="69" s="1"/>
  <c r="F14" i="27"/>
  <c r="AN72" i="4"/>
  <c r="AO72" i="4"/>
  <c r="AO84" i="4"/>
  <c r="AN84" i="4"/>
  <c r="A513" i="13"/>
  <c r="AX414" i="13"/>
  <c r="AS60" i="4" a="1"/>
  <c r="AS60" i="4" s="1"/>
  <c r="C60" i="69" s="1"/>
  <c r="D60" i="69" s="1" a="1"/>
  <c r="D60" i="69" s="1"/>
  <c r="V60" i="4"/>
  <c r="AR60" i="4"/>
  <c r="AQ60" i="4" a="1"/>
  <c r="AQ60" i="4" s="1"/>
  <c r="H60" i="69" s="1"/>
  <c r="BN60" i="4"/>
  <c r="AX448" i="13"/>
  <c r="A547" i="13"/>
  <c r="F42" i="15"/>
  <c r="BJ54" i="4"/>
  <c r="BB54" i="4" s="1" a="1"/>
  <c r="BB54" i="4" s="1"/>
  <c r="BA54" i="69"/>
  <c r="AD54" i="69"/>
  <c r="U21" i="69" a="1"/>
  <c r="U21" i="69" s="1"/>
  <c r="U22" i="69" a="1"/>
  <c r="U22" i="69" s="1"/>
  <c r="U30" i="69" a="1"/>
  <c r="U30" i="69" s="1"/>
  <c r="U49" i="69" a="1"/>
  <c r="U49" i="69" s="1"/>
  <c r="BJ40" i="4"/>
  <c r="BB40" i="4" s="1" a="1"/>
  <c r="BB40" i="4" s="1"/>
  <c r="BA40" i="69"/>
  <c r="AD40" i="69"/>
  <c r="G240" i="15"/>
  <c r="AO66" i="4"/>
  <c r="AN66" i="4"/>
  <c r="G378" i="15"/>
  <c r="G223" i="15"/>
  <c r="BJ29" i="4"/>
  <c r="BB29" i="4" s="1" a="1"/>
  <c r="BB29" i="4" s="1"/>
  <c r="BA29" i="69"/>
  <c r="AD29" i="69"/>
  <c r="BJ52" i="4"/>
  <c r="BB52" i="4" s="1" a="1"/>
  <c r="BB52" i="4" s="1"/>
  <c r="BA52" i="69"/>
  <c r="AD52" i="69"/>
  <c r="G437" i="15"/>
  <c r="BJ77" i="4"/>
  <c r="BB77" i="4" s="1" a="1"/>
  <c r="BB77" i="4" s="1"/>
  <c r="BA77" i="69"/>
  <c r="AD77" i="69"/>
  <c r="AX480" i="13"/>
  <c r="A579" i="13"/>
  <c r="AX474" i="13"/>
  <c r="A573" i="13"/>
  <c r="AN8" i="4"/>
  <c r="AO8" i="4"/>
  <c r="G439" i="15"/>
  <c r="A527" i="13"/>
  <c r="AX428" i="13"/>
  <c r="O87" i="69"/>
  <c r="BC87" i="69"/>
  <c r="G200" i="15"/>
  <c r="AN67" i="69" a="1"/>
  <c r="AN67" i="69" s="1"/>
  <c r="G391" i="15"/>
  <c r="BF54" i="69" a="1"/>
  <c r="BF54" i="69" s="1"/>
  <c r="AI54" i="69" a="1"/>
  <c r="AI54" i="69" s="1"/>
  <c r="AG54" i="69" a="1"/>
  <c r="AG54" i="69" s="1"/>
  <c r="AO54" i="69" a="1"/>
  <c r="AO54" i="69" s="1"/>
  <c r="AN54" i="69" a="1"/>
  <c r="AN54" i="69" s="1"/>
  <c r="AS54" i="69" a="1"/>
  <c r="AS54" i="69" s="1"/>
  <c r="AM54" i="69" a="1"/>
  <c r="AM54" i="69" s="1"/>
  <c r="AR54" i="69" a="1"/>
  <c r="AR54" i="69" s="1"/>
  <c r="AP54" i="69" a="1"/>
  <c r="AP54" i="69" s="1"/>
  <c r="AH54" i="69" a="1"/>
  <c r="AH54" i="69" s="1"/>
  <c r="AL54" i="69" a="1"/>
  <c r="AL54" i="69" s="1"/>
  <c r="A852" i="13"/>
  <c r="AX753" i="13"/>
  <c r="AI9" i="69" a="1"/>
  <c r="AI9" i="69" s="1"/>
  <c r="AN9" i="69" a="1"/>
  <c r="AN9" i="69" s="1"/>
  <c r="AS9" i="69" a="1"/>
  <c r="AS9" i="69" s="1"/>
  <c r="AO9" i="69" a="1"/>
  <c r="AO9" i="69" s="1"/>
  <c r="AR9" i="69" a="1"/>
  <c r="AR9" i="69" s="1"/>
  <c r="AG9" i="69" a="1"/>
  <c r="AG9" i="69" s="1"/>
  <c r="AF9" i="69" s="1" a="1"/>
  <c r="AF9" i="69" s="1"/>
  <c r="AM9" i="69" a="1"/>
  <c r="AM9" i="69" s="1"/>
  <c r="AP9" i="69" a="1"/>
  <c r="AP9" i="69" s="1"/>
  <c r="BF9" i="69" a="1"/>
  <c r="BF9" i="69" s="1"/>
  <c r="AH9" i="69" a="1"/>
  <c r="AH9" i="69" s="1"/>
  <c r="AL9" i="69" a="1"/>
  <c r="AL9" i="69" s="1"/>
  <c r="G444" i="15"/>
  <c r="AO14" i="4"/>
  <c r="AN14" i="4"/>
  <c r="AX485" i="13"/>
  <c r="A584" i="13"/>
  <c r="BJ35" i="4"/>
  <c r="BB35" i="4" s="1" a="1"/>
  <c r="BB35" i="4" s="1"/>
  <c r="BA35" i="69"/>
  <c r="AD35" i="69"/>
  <c r="BK60" i="69"/>
  <c r="AW60" i="69"/>
  <c r="AX60" i="69"/>
  <c r="BG60" i="69"/>
  <c r="AN13" i="4"/>
  <c r="AO13" i="4"/>
  <c r="AX425" i="13"/>
  <c r="A524" i="13"/>
  <c r="G255" i="15"/>
  <c r="AL64" i="69" a="1"/>
  <c r="AL64" i="69" s="1"/>
  <c r="BJ62" i="4"/>
  <c r="BB62" i="4" s="1" a="1"/>
  <c r="BB62" i="4" s="1"/>
  <c r="BA62" i="69"/>
  <c r="AD62" i="69"/>
  <c r="AN74" i="4"/>
  <c r="AO74" i="4"/>
  <c r="G422" i="15"/>
  <c r="G441" i="15"/>
  <c r="O25" i="69"/>
  <c r="BC25" i="69"/>
  <c r="BG61" i="69"/>
  <c r="AM19" i="69" a="1"/>
  <c r="AM19" i="69" s="1"/>
  <c r="AR19" i="69" a="1"/>
  <c r="AR19" i="69" s="1"/>
  <c r="AN19" i="69" a="1"/>
  <c r="AN19" i="69" s="1"/>
  <c r="AS19" i="69" a="1"/>
  <c r="AS19" i="69" s="1"/>
  <c r="AI19" i="69" a="1"/>
  <c r="AI19" i="69" s="1"/>
  <c r="AG19" i="69" a="1"/>
  <c r="AG19" i="69" s="1"/>
  <c r="AO19" i="69" a="1"/>
  <c r="AO19" i="69" s="1"/>
  <c r="AP19" i="69" a="1"/>
  <c r="AP19" i="69" s="1"/>
  <c r="BF19" i="69" a="1"/>
  <c r="BF19" i="69" s="1"/>
  <c r="AH19" i="69" a="1"/>
  <c r="AH19" i="69" s="1"/>
  <c r="AL19" i="69" a="1"/>
  <c r="AL19" i="69" s="1"/>
  <c r="AX436" i="13"/>
  <c r="A535" i="13"/>
  <c r="G284" i="15"/>
  <c r="G481" i="15"/>
  <c r="BG86" i="69"/>
  <c r="BI60" i="4"/>
  <c r="BE60" i="4"/>
  <c r="AV557" i="13"/>
  <c r="AN54" i="4"/>
  <c r="AO54" i="4"/>
  <c r="G285" i="15"/>
  <c r="U38" i="69" a="1"/>
  <c r="U38" i="69" s="1"/>
  <c r="A526" i="13"/>
  <c r="AX427" i="13"/>
  <c r="BJ91" i="4"/>
  <c r="BB91" i="4" s="1" a="1"/>
  <c r="BB91" i="4" s="1"/>
  <c r="BA91" i="69"/>
  <c r="AD91" i="69"/>
  <c r="A578" i="13"/>
  <c r="AX479" i="13"/>
  <c r="AN80" i="69" a="1"/>
  <c r="AN80" i="69" s="1"/>
  <c r="BG84" i="69"/>
  <c r="AA55" i="4"/>
  <c r="AA96" i="4" s="1"/>
  <c r="BJ39" i="4"/>
  <c r="BB39" i="4" s="1" a="1"/>
  <c r="BB39" i="4" s="1"/>
  <c r="BA39" i="69"/>
  <c r="AD39" i="69"/>
  <c r="AN73" i="4"/>
  <c r="AO73" i="4"/>
  <c r="AN17" i="4"/>
  <c r="AO17" i="4"/>
  <c r="BG57" i="69"/>
  <c r="AN52" i="4"/>
  <c r="AO52" i="4"/>
  <c r="AO77" i="4"/>
  <c r="AN77" i="4"/>
  <c r="BJ86" i="4"/>
  <c r="BB86" i="4" s="1" a="1"/>
  <c r="BB86" i="4" s="1"/>
  <c r="BA86" i="69"/>
  <c r="AD86" i="69"/>
  <c r="G473" i="15"/>
  <c r="BJ61" i="4"/>
  <c r="BB61" i="4" s="1" a="1"/>
  <c r="BB61" i="4" s="1"/>
  <c r="BA61" i="69"/>
  <c r="AD61" i="69"/>
  <c r="AX420" i="13"/>
  <c r="A519" i="13"/>
  <c r="AX421" i="13"/>
  <c r="A520" i="13"/>
  <c r="AN22" i="4"/>
  <c r="AO22" i="4"/>
  <c r="AO6" i="4"/>
  <c r="AN6" i="4"/>
  <c r="A583" i="13"/>
  <c r="AX484" i="13"/>
  <c r="G338" i="15"/>
  <c r="A590" i="13"/>
  <c r="AX491" i="13"/>
  <c r="AO82" i="4"/>
  <c r="AN82" i="4"/>
  <c r="H341" i="15" a="1"/>
  <c r="H341" i="15" s="1"/>
  <c r="I341" i="15" a="1"/>
  <c r="I341" i="15" s="1"/>
  <c r="G341" i="15"/>
  <c r="G480" i="15"/>
  <c r="AN19" i="4"/>
  <c r="AO19" i="4"/>
  <c r="AN41" i="4"/>
  <c r="AO41" i="4"/>
  <c r="AO88" i="4"/>
  <c r="AN88" i="4"/>
  <c r="AX443" i="13"/>
  <c r="A542" i="13"/>
  <c r="AH62" i="69" a="1"/>
  <c r="AH62" i="69" s="1"/>
  <c r="A585" i="13"/>
  <c r="AX486" i="13"/>
  <c r="AF7" i="69" a="1"/>
  <c r="AF7" i="69" s="1"/>
  <c r="AP78" i="69" a="1"/>
  <c r="AP78" i="69" s="1"/>
  <c r="AN78" i="69" a="1"/>
  <c r="AN78" i="69" s="1"/>
  <c r="AS78" i="69" a="1"/>
  <c r="AS78" i="69" s="1"/>
  <c r="AR78" i="69" a="1"/>
  <c r="AR78" i="69" s="1"/>
  <c r="AM78" i="69" a="1"/>
  <c r="AM78" i="69" s="1"/>
  <c r="AI78" i="69" a="1"/>
  <c r="AI78" i="69" s="1"/>
  <c r="AG78" i="69" a="1"/>
  <c r="AG78" i="69" s="1"/>
  <c r="AX433" i="13"/>
  <c r="A532" i="13"/>
  <c r="BC35" i="69"/>
  <c r="O35" i="69"/>
  <c r="BJ68" i="4"/>
  <c r="BB68" i="4" s="1" a="1"/>
  <c r="BB68" i="4" s="1"/>
  <c r="BA68" i="69"/>
  <c r="AD68" i="69"/>
  <c r="AO27" i="4"/>
  <c r="AN27" i="4"/>
  <c r="AX445" i="13"/>
  <c r="A544" i="13"/>
  <c r="G91" i="15"/>
  <c r="AN95" i="69" a="1"/>
  <c r="AN95" i="69" s="1"/>
  <c r="AX422" i="13"/>
  <c r="A521" i="13"/>
  <c r="A508" i="13"/>
  <c r="AX409" i="13"/>
  <c r="H16" i="27"/>
  <c r="A6" i="27" s="1" a="1"/>
  <c r="A6" i="27" s="1"/>
  <c r="AN30" i="4"/>
  <c r="AO30" i="4"/>
  <c r="BJ84" i="4"/>
  <c r="BB84" i="4" s="1" a="1"/>
  <c r="BB84" i="4" s="1"/>
  <c r="BA84" i="69"/>
  <c r="AD84" i="69"/>
  <c r="A531" i="13"/>
  <c r="AX432" i="13"/>
  <c r="K60" i="69" a="1"/>
  <c r="K60" i="69" s="1"/>
  <c r="L60" i="69"/>
  <c r="AN16" i="69" a="1"/>
  <c r="AN16" i="69" s="1"/>
  <c r="AO16" i="69" a="1"/>
  <c r="AO16" i="69" s="1"/>
  <c r="AI16" i="69" a="1"/>
  <c r="AI16" i="69" s="1"/>
  <c r="AR16" i="69" a="1"/>
  <c r="AR16" i="69" s="1"/>
  <c r="AG16" i="69" a="1"/>
  <c r="AG16" i="69" s="1"/>
  <c r="AS16" i="69" a="1"/>
  <c r="AS16" i="69" s="1"/>
  <c r="AM16" i="69" a="1"/>
  <c r="AM16" i="69" s="1"/>
  <c r="AP16" i="69" a="1"/>
  <c r="AP16" i="69" s="1"/>
  <c r="AH16" i="69" a="1"/>
  <c r="AH16" i="69" s="1"/>
  <c r="BF16" i="69" a="1"/>
  <c r="BF16" i="69" s="1"/>
  <c r="AL16" i="69" a="1"/>
  <c r="AL16" i="69" s="1"/>
  <c r="G400" i="15"/>
  <c r="U37" i="69" a="1"/>
  <c r="U37" i="69" s="1"/>
  <c r="U26" i="69" a="1"/>
  <c r="U26" i="69" s="1"/>
  <c r="AX798" i="13"/>
  <c r="A897" i="13"/>
  <c r="AH93" i="69" a="1"/>
  <c r="AH93" i="69" s="1"/>
  <c r="AN91" i="4"/>
  <c r="AO91" i="4"/>
  <c r="AO83" i="69" a="1"/>
  <c r="AO83" i="69" s="1"/>
  <c r="AN86" i="69" a="1"/>
  <c r="AN86" i="69" s="1"/>
  <c r="BG92" i="69"/>
  <c r="BG72" i="69"/>
  <c r="G215" i="15"/>
  <c r="BJ50" i="4"/>
  <c r="BB50" i="4" s="1" a="1"/>
  <c r="BB50" i="4" s="1"/>
  <c r="BP106" i="4"/>
  <c r="BP103" i="4"/>
  <c r="Z1739" i="13" s="1"/>
  <c r="BP105" i="4"/>
  <c r="BA50" i="69"/>
  <c r="AD50" i="69"/>
  <c r="BJ56" i="69"/>
  <c r="BG56" i="69"/>
  <c r="AX431" i="13"/>
  <c r="A530" i="13"/>
  <c r="A511" i="13"/>
  <c r="AX412" i="13"/>
  <c r="G361" i="15"/>
  <c r="BJ8" i="4"/>
  <c r="BB8" i="4" s="1" a="1"/>
  <c r="BB8" i="4" s="1"/>
  <c r="BA8" i="69"/>
  <c r="AD8" i="69"/>
  <c r="A577" i="13"/>
  <c r="AX478" i="13"/>
  <c r="AV1763" i="13"/>
  <c r="AB1763" i="13"/>
  <c r="AO61" i="4"/>
  <c r="AN61" i="4"/>
  <c r="BJ22" i="4"/>
  <c r="BB22" i="4" s="1" a="1"/>
  <c r="BB22" i="4" s="1"/>
  <c r="BA22" i="69"/>
  <c r="AD22" i="69"/>
  <c r="A559" i="13"/>
  <c r="AX460" i="13"/>
  <c r="BJ82" i="4"/>
  <c r="BB82" i="4" s="1" a="1"/>
  <c r="BB82" i="4" s="1"/>
  <c r="BA82" i="69"/>
  <c r="AD82" i="69"/>
  <c r="AS63" i="69" a="1"/>
  <c r="AS63" i="69" s="1"/>
  <c r="AM63" i="69" a="1"/>
  <c r="AM63" i="69" s="1"/>
  <c r="AI63" i="69" a="1"/>
  <c r="AI63" i="69" s="1"/>
  <c r="AG63" i="69" a="1"/>
  <c r="AG63" i="69" s="1"/>
  <c r="AR63" i="69" a="1"/>
  <c r="AR63" i="69" s="1"/>
  <c r="AO63" i="69" a="1"/>
  <c r="AO63" i="69" s="1"/>
  <c r="AP63" i="69" a="1"/>
  <c r="AP63" i="69" s="1"/>
  <c r="BJ19" i="4"/>
  <c r="BB19" i="4" s="1" a="1"/>
  <c r="BB19" i="4" s="1"/>
  <c r="BA19" i="69"/>
  <c r="AD19" i="69"/>
  <c r="AO82" i="69" a="1"/>
  <c r="AO82" i="69" s="1"/>
  <c r="BJ88" i="4"/>
  <c r="BB88" i="4" s="1" a="1"/>
  <c r="BB88" i="4" s="1"/>
  <c r="BA88" i="69"/>
  <c r="AD88" i="69"/>
  <c r="AX417" i="13"/>
  <c r="A516" i="13"/>
  <c r="A550" i="13"/>
  <c r="AX451" i="13"/>
  <c r="AX410" i="13"/>
  <c r="A509" i="13"/>
  <c r="BJ92" i="4"/>
  <c r="BB92" i="4" s="1" a="1"/>
  <c r="BB92" i="4" s="1"/>
  <c r="BA92" i="69"/>
  <c r="AD92" i="69"/>
  <c r="G368" i="15"/>
  <c r="G297" i="15"/>
  <c r="BJ53" i="4"/>
  <c r="BB53" i="4" s="1" a="1"/>
  <c r="BB53" i="4" s="1"/>
  <c r="BA53" i="69"/>
  <c r="AD53" i="69"/>
  <c r="BJ38" i="4"/>
  <c r="BB38" i="4" s="1" a="1"/>
  <c r="BB38" i="4" s="1"/>
  <c r="BA38" i="69"/>
  <c r="AD38" i="69"/>
  <c r="BG81" i="69"/>
  <c r="AN56" i="4"/>
  <c r="AO56" i="4"/>
  <c r="BC32" i="69"/>
  <c r="O32" i="69"/>
  <c r="AN68" i="4"/>
  <c r="AO68" i="4"/>
  <c r="BJ13" i="4"/>
  <c r="BB13" i="4" s="1" a="1"/>
  <c r="BB13" i="4" s="1"/>
  <c r="BA13" i="69"/>
  <c r="AD13" i="69"/>
  <c r="G327" i="15"/>
  <c r="BJ7" i="4"/>
  <c r="BB7" i="4" s="1" a="1"/>
  <c r="BB7" i="4" s="1"/>
  <c r="BA7" i="69"/>
  <c r="AD7" i="69"/>
  <c r="G458" i="15"/>
  <c r="BJ31" i="4"/>
  <c r="BB31" i="4" s="1" a="1"/>
  <c r="BB31" i="4" s="1"/>
  <c r="BA31" i="69"/>
  <c r="AD31" i="69"/>
  <c r="T36" i="14"/>
  <c r="N36" i="14"/>
  <c r="BJ74" i="4"/>
  <c r="BB74" i="4" s="1" a="1"/>
  <c r="BB74" i="4" s="1"/>
  <c r="BA74" i="69"/>
  <c r="AD74" i="69"/>
  <c r="AX442" i="13"/>
  <c r="A541" i="13"/>
  <c r="BJ43" i="4"/>
  <c r="BB43" i="4" s="1" a="1"/>
  <c r="BB43" i="4" s="1"/>
  <c r="BA43" i="69"/>
  <c r="AD43" i="69"/>
  <c r="AS61" i="69" a="1"/>
  <c r="AS61" i="69" s="1"/>
  <c r="AN61" i="69" a="1"/>
  <c r="AN61" i="69" s="1"/>
  <c r="AG61" i="69" a="1"/>
  <c r="AG61" i="69" s="1"/>
  <c r="AR61" i="69" a="1"/>
  <c r="AR61" i="69" s="1"/>
  <c r="AI61" i="69" a="1"/>
  <c r="AI61" i="69" s="1"/>
  <c r="AM61" i="69" a="1"/>
  <c r="AM61" i="69" s="1"/>
  <c r="AO61" i="69" a="1"/>
  <c r="AO61" i="69" s="1"/>
  <c r="AP61" i="69" a="1"/>
  <c r="AP61" i="69" s="1"/>
  <c r="S36" i="14"/>
  <c r="AN70" i="4"/>
  <c r="AO70" i="4"/>
  <c r="AN57" i="69" a="1"/>
  <c r="AN57" i="69" s="1"/>
  <c r="BJ11" i="4"/>
  <c r="BB11" i="4" s="1" a="1"/>
  <c r="BB11" i="4" s="1"/>
  <c r="BA11" i="69"/>
  <c r="AD11" i="69"/>
  <c r="G242" i="15"/>
  <c r="G228" i="15"/>
  <c r="U46" i="69" a="1"/>
  <c r="U46" i="69" s="1"/>
  <c r="U62" i="69" a="1"/>
  <c r="U62" i="69" s="1"/>
  <c r="U44" i="69" a="1"/>
  <c r="U44" i="69" s="1"/>
  <c r="BG85" i="69"/>
  <c r="BC203" i="4"/>
  <c r="BC22" i="69"/>
  <c r="O22" i="69"/>
  <c r="J16" i="27"/>
  <c r="I11" i="27"/>
  <c r="AX470" i="13"/>
  <c r="A569" i="13"/>
  <c r="AX446" i="13"/>
  <c r="A545" i="13"/>
  <c r="A522" i="13"/>
  <c r="AX423" i="13"/>
  <c r="BC19" i="69"/>
  <c r="O19" i="69"/>
  <c r="BJ41" i="4"/>
  <c r="BB41" i="4" s="1" a="1"/>
  <c r="BB41" i="4" s="1"/>
  <c r="BA41" i="69"/>
  <c r="AD41" i="69"/>
  <c r="AS67" i="69" a="1"/>
  <c r="AS67" i="69" s="1"/>
  <c r="AI67" i="69" a="1"/>
  <c r="AI67" i="69" s="1"/>
  <c r="AM67" i="69" a="1"/>
  <c r="AM67" i="69" s="1"/>
  <c r="AR67" i="69" a="1"/>
  <c r="AR67" i="69" s="1"/>
  <c r="AO67" i="69" a="1"/>
  <c r="AO67" i="69" s="1"/>
  <c r="AP67" i="69" a="1"/>
  <c r="AP67" i="69" s="1"/>
  <c r="BI21" i="4"/>
  <c r="AV518" i="13"/>
  <c r="BE21" i="4"/>
  <c r="BO21" i="4"/>
  <c r="U21" i="4"/>
  <c r="G446" i="15"/>
  <c r="AO53" i="4"/>
  <c r="AN53" i="4"/>
  <c r="AN38" i="4"/>
  <c r="AO38" i="4"/>
  <c r="BJ56" i="4"/>
  <c r="BB56" i="4" s="1" a="1"/>
  <c r="BB56" i="4" s="1"/>
  <c r="BA56" i="69"/>
  <c r="AD56" i="69"/>
  <c r="G154" i="15"/>
  <c r="BF71" i="69" a="1"/>
  <c r="BF71" i="69" s="1"/>
  <c r="AM71" i="69" a="1"/>
  <c r="AM71" i="69" s="1"/>
  <c r="AG71" i="69" a="1"/>
  <c r="AG71" i="69" s="1"/>
  <c r="AR71" i="69" a="1"/>
  <c r="AR71" i="69" s="1"/>
  <c r="AI71" i="69" a="1"/>
  <c r="AI71" i="69" s="1"/>
  <c r="AS71" i="69" a="1"/>
  <c r="AS71" i="69" s="1"/>
  <c r="AN71" i="69" a="1"/>
  <c r="AN71" i="69" s="1"/>
  <c r="AH71" i="69" a="1"/>
  <c r="AH71" i="69" s="1"/>
  <c r="AP71" i="69" a="1"/>
  <c r="AP71" i="69" s="1"/>
  <c r="AN63" i="69" a="1"/>
  <c r="AN63" i="69" s="1"/>
  <c r="AN7" i="4"/>
  <c r="AO7" i="4"/>
  <c r="A556" i="13"/>
  <c r="AX457" i="13"/>
  <c r="AL26" i="69" a="1"/>
  <c r="AL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O26" i="69" a="1"/>
  <c r="AO26" i="69" s="1"/>
  <c r="AG26" i="69" a="1"/>
  <c r="AG26" i="69" s="1"/>
  <c r="AP26" i="69" a="1"/>
  <c r="AP26" i="69" s="1"/>
  <c r="AH26" i="69" a="1"/>
  <c r="AH26" i="69" s="1"/>
  <c r="BF26" i="69" a="1"/>
  <c r="BF26" i="69" s="1"/>
  <c r="AO31" i="4"/>
  <c r="AN31" i="4"/>
  <c r="G275" i="15"/>
  <c r="K36" i="14"/>
  <c r="AO43" i="4"/>
  <c r="AN43" i="4"/>
  <c r="F42" i="23"/>
  <c r="P42" i="23" s="1"/>
  <c r="Z42" i="23" s="1"/>
  <c r="F41" i="23"/>
  <c r="P41" i="23" s="1"/>
  <c r="Z41" i="23" s="1"/>
  <c r="F43" i="23"/>
  <c r="P43" i="23" s="1"/>
  <c r="Z43" i="23" s="1"/>
  <c r="F40" i="23"/>
  <c r="P40" i="23" s="1"/>
  <c r="G268" i="15"/>
  <c r="BJ30" i="4"/>
  <c r="BB30" i="4" s="1" a="1"/>
  <c r="BB30" i="4" s="1"/>
  <c r="BA30" i="69"/>
  <c r="AD30" i="69"/>
  <c r="BJ70" i="4"/>
  <c r="BB70" i="4" s="1" a="1"/>
  <c r="BB70" i="4" s="1"/>
  <c r="BA70" i="69"/>
  <c r="AD70" i="69"/>
  <c r="BJ32" i="4"/>
  <c r="BB32" i="4" s="1" a="1"/>
  <c r="BB32" i="4" s="1"/>
  <c r="BA32" i="69"/>
  <c r="AD32" i="69"/>
  <c r="G231" i="15"/>
  <c r="AN11" i="4"/>
  <c r="AO11" i="4"/>
  <c r="AX435" i="13"/>
  <c r="A534" i="13"/>
  <c r="AO20" i="4"/>
  <c r="AN20" i="4"/>
  <c r="BJ89" i="69"/>
  <c r="BG89" i="69"/>
  <c r="AH22" i="69" a="1"/>
  <c r="AH22" i="69" s="1"/>
  <c r="AG22" i="69" a="1"/>
  <c r="AG22" i="69" s="1"/>
  <c r="AR22" i="69" a="1"/>
  <c r="AR22" i="69" s="1"/>
  <c r="AM22" i="69" a="1"/>
  <c r="AM22" i="69" s="1"/>
  <c r="AS22" i="69" a="1"/>
  <c r="AS22" i="69" s="1"/>
  <c r="AO22" i="69" a="1"/>
  <c r="AO22" i="69" s="1"/>
  <c r="AN22" i="69" a="1"/>
  <c r="AN22" i="69" s="1"/>
  <c r="AI22" i="69" a="1"/>
  <c r="AI22" i="69" s="1"/>
  <c r="AP22" i="69" a="1"/>
  <c r="AP22" i="69" s="1"/>
  <c r="BF22" i="69" a="1"/>
  <c r="BF22" i="69" s="1"/>
  <c r="AL22" i="69" a="1"/>
  <c r="AL22" i="69" s="1"/>
  <c r="U51" i="69" a="1"/>
  <c r="U51" i="69" s="1"/>
  <c r="BF93" i="69" a="1"/>
  <c r="BF93" i="69" s="1"/>
  <c r="BG91" i="69"/>
  <c r="AO50" i="4"/>
  <c r="AN50" i="4"/>
  <c r="BJ73" i="4"/>
  <c r="BB73" i="4" s="1" a="1"/>
  <c r="BB73" i="4" s="1"/>
  <c r="BA73" i="69"/>
  <c r="AD73" i="69"/>
  <c r="BJ51" i="4"/>
  <c r="BB51" i="4" s="1" a="1"/>
  <c r="BB51" i="4" s="1"/>
  <c r="BA51" i="69"/>
  <c r="AD51" i="69"/>
  <c r="AN18" i="4"/>
  <c r="AO18" i="4"/>
  <c r="AO29" i="4"/>
  <c r="AN29" i="4"/>
  <c r="BC41" i="69"/>
  <c r="O41" i="69"/>
  <c r="AO92" i="4"/>
  <c r="AN92" i="4"/>
  <c r="K21" i="69" a="1"/>
  <c r="K21" i="69" s="1"/>
  <c r="L21" i="69"/>
  <c r="G208" i="15"/>
  <c r="BC65" i="69"/>
  <c r="O65" i="69"/>
  <c r="AX438" i="13"/>
  <c r="A537" i="13"/>
  <c r="AL34" i="69" a="1"/>
  <c r="AL34" i="69" s="1"/>
  <c r="AO34" i="69" a="1"/>
  <c r="AO34" i="69" s="1"/>
  <c r="AM34" i="69" a="1"/>
  <c r="AM34" i="69" s="1"/>
  <c r="AI34" i="69" a="1"/>
  <c r="AI34" i="69" s="1"/>
  <c r="AS34" i="69" a="1"/>
  <c r="AS34" i="69" s="1"/>
  <c r="AN34" i="69" a="1"/>
  <c r="AN34" i="69" s="1"/>
  <c r="AG34" i="69" a="1"/>
  <c r="AG34" i="69" s="1"/>
  <c r="AR34" i="69" a="1"/>
  <c r="AR34" i="69" s="1"/>
  <c r="AP34" i="69" a="1"/>
  <c r="AP34" i="69" s="1"/>
  <c r="BF34" i="69" a="1"/>
  <c r="BF34" i="69" s="1"/>
  <c r="AH34" i="69" a="1"/>
  <c r="AH34" i="69" s="1"/>
  <c r="AH25" i="69" a="1"/>
  <c r="AH25" i="69" s="1"/>
  <c r="AS25" i="69" a="1"/>
  <c r="AS25" i="69" s="1"/>
  <c r="AO25" i="69" a="1"/>
  <c r="AO25" i="69" s="1"/>
  <c r="AN25" i="69" a="1"/>
  <c r="AN25" i="69" s="1"/>
  <c r="AM25" i="69" a="1"/>
  <c r="AM25" i="69" s="1"/>
  <c r="AI25" i="69" a="1"/>
  <c r="AI25" i="69" s="1"/>
  <c r="AR25" i="69" a="1"/>
  <c r="AR25" i="69" s="1"/>
  <c r="AG25" i="69" a="1"/>
  <c r="AG25" i="69" s="1"/>
  <c r="AP25" i="69" a="1"/>
  <c r="AP25" i="69" s="1"/>
  <c r="AL25" i="69" a="1"/>
  <c r="AL25" i="69" s="1"/>
  <c r="BF25" i="69" a="1"/>
  <c r="BF25" i="69" s="1"/>
  <c r="AS20" i="69" a="1"/>
  <c r="AS20" i="69" s="1"/>
  <c r="AI20" i="69" a="1"/>
  <c r="AI20" i="69" s="1"/>
  <c r="AO20" i="69" a="1"/>
  <c r="AO20" i="69" s="1"/>
  <c r="AR20" i="69" a="1"/>
  <c r="AR20" i="69" s="1"/>
  <c r="AN20" i="69" a="1"/>
  <c r="AN20" i="69" s="1"/>
  <c r="AM20" i="69" a="1"/>
  <c r="AM20" i="69" s="1"/>
  <c r="AG20" i="69" a="1"/>
  <c r="AG20" i="69" s="1"/>
  <c r="AP20" i="69" a="1"/>
  <c r="AP20" i="69" s="1"/>
  <c r="BF20" i="69" a="1"/>
  <c r="BF20" i="69" s="1"/>
  <c r="AH20" i="69" a="1"/>
  <c r="AH20" i="69" s="1"/>
  <c r="AL20" i="69" a="1"/>
  <c r="AL20" i="69" s="1"/>
  <c r="F51" i="14"/>
  <c r="P51" i="23"/>
  <c r="G238" i="15"/>
  <c r="AH47" i="69" a="1"/>
  <c r="AH47" i="69" s="1"/>
  <c r="AO47" i="69" a="1"/>
  <c r="AO47" i="69" s="1"/>
  <c r="AS47" i="69" a="1"/>
  <c r="AS47" i="69" s="1"/>
  <c r="AG47" i="69" a="1"/>
  <c r="AG47" i="69" s="1"/>
  <c r="AM47" i="69" a="1"/>
  <c r="AM47" i="69" s="1"/>
  <c r="AI47" i="69" a="1"/>
  <c r="AI47" i="69" s="1"/>
  <c r="AR47" i="69" a="1"/>
  <c r="AR47" i="69" s="1"/>
  <c r="AN47" i="69" a="1"/>
  <c r="AN47" i="69" s="1"/>
  <c r="AP47" i="69" a="1"/>
  <c r="AP47" i="69" s="1"/>
  <c r="AL47" i="69" a="1"/>
  <c r="AL47" i="69" s="1"/>
  <c r="BF47" i="69" a="1"/>
  <c r="BF47" i="69" s="1"/>
  <c r="AH64" i="69" a="1"/>
  <c r="AH64" i="69" s="1"/>
  <c r="AX450" i="13"/>
  <c r="A549" i="13"/>
  <c r="AN60" i="69" a="1"/>
  <c r="AN60" i="69" s="1"/>
  <c r="AS60" i="69" a="1"/>
  <c r="AS60" i="69" s="1"/>
  <c r="AR60" i="69" a="1"/>
  <c r="AR60" i="69" s="1"/>
  <c r="AG60" i="69" a="1"/>
  <c r="AG60" i="69" s="1"/>
  <c r="AM60" i="69" a="1"/>
  <c r="AM60" i="69" s="1"/>
  <c r="AO60" i="69" a="1"/>
  <c r="AO60" i="69" s="1"/>
  <c r="AI60" i="69" a="1"/>
  <c r="AI60" i="69" s="1"/>
  <c r="AP60" i="69" a="1"/>
  <c r="AP60" i="69" s="1"/>
  <c r="A567" i="13"/>
  <c r="AX468" i="13"/>
  <c r="G102" i="15"/>
  <c r="AO49" i="4"/>
  <c r="AN49" i="4"/>
  <c r="AN32" i="4"/>
  <c r="AO32" i="4"/>
  <c r="AS94" i="69" a="1"/>
  <c r="AS94" i="69" s="1"/>
  <c r="AR94" i="69" a="1"/>
  <c r="AR94" i="69" s="1"/>
  <c r="AM94" i="69" a="1"/>
  <c r="AM94" i="69" s="1"/>
  <c r="AI94" i="69" a="1"/>
  <c r="AI94" i="69" s="1"/>
  <c r="AO94" i="69" a="1"/>
  <c r="AO94" i="69" s="1"/>
  <c r="AP94" i="69" a="1"/>
  <c r="AP94" i="69" s="1"/>
  <c r="BJ34" i="4"/>
  <c r="BB34" i="4" s="1" a="1"/>
  <c r="BB34" i="4" s="1"/>
  <c r="BA34" i="69"/>
  <c r="AD34" i="69"/>
  <c r="O11" i="69"/>
  <c r="BC11" i="69"/>
  <c r="AN75" i="4"/>
  <c r="AO75" i="4"/>
  <c r="BJ20" i="4"/>
  <c r="BB20" i="4" s="1" a="1"/>
  <c r="BB20" i="4" s="1"/>
  <c r="BA20" i="69"/>
  <c r="AD20" i="69"/>
  <c r="BG58" i="69"/>
  <c r="U40" i="69" a="1"/>
  <c r="U40" i="69" s="1"/>
  <c r="U29" i="69" a="1"/>
  <c r="U29" i="69" s="1"/>
  <c r="U24" i="69" a="1"/>
  <c r="U24" i="69" s="1"/>
  <c r="H42" i="15" a="1"/>
  <c r="H42" i="15" s="1"/>
  <c r="I71" i="15" a="1"/>
  <c r="I71" i="15" s="1"/>
  <c r="H71" i="15" a="1"/>
  <c r="H71" i="15" s="1"/>
  <c r="G71" i="15"/>
  <c r="G260" i="15"/>
  <c r="G397" i="15"/>
  <c r="G258" i="15"/>
  <c r="G466" i="15"/>
  <c r="G396" i="15"/>
  <c r="G259" i="15"/>
  <c r="G398" i="15"/>
  <c r="G443" i="15"/>
  <c r="G337" i="15"/>
  <c r="G405" i="15"/>
  <c r="G141" i="15"/>
  <c r="G355" i="15"/>
  <c r="AH60" i="69" a="1"/>
  <c r="AH60" i="69" s="1"/>
  <c r="G262" i="15"/>
  <c r="AN77" i="69" a="1"/>
  <c r="AN77" i="69" s="1"/>
  <c r="G280" i="15"/>
  <c r="AN68" i="69" a="1"/>
  <c r="AN68" i="69" s="1"/>
  <c r="AO91" i="69" a="1"/>
  <c r="AO91" i="69" s="1"/>
  <c r="AJ55" i="69"/>
  <c r="CX96" i="4"/>
  <c r="A419" i="13"/>
  <c r="AX320" i="13"/>
  <c r="AH37" i="69" a="1"/>
  <c r="AH37" i="69" s="1"/>
  <c r="AS37" i="69" a="1"/>
  <c r="AS37" i="69" s="1"/>
  <c r="AM37" i="69" a="1"/>
  <c r="AM37" i="69" s="1"/>
  <c r="AO37" i="69" a="1"/>
  <c r="AO37" i="69" s="1"/>
  <c r="AR37" i="69" a="1"/>
  <c r="AR37" i="69" s="1"/>
  <c r="AI37" i="69" a="1"/>
  <c r="AI37" i="69" s="1"/>
  <c r="AG37" i="69" a="1"/>
  <c r="AG37" i="69" s="1"/>
  <c r="AN37" i="69" a="1"/>
  <c r="AN37" i="69" s="1"/>
  <c r="AP37" i="69" a="1"/>
  <c r="AP37" i="69" s="1"/>
  <c r="BF37" i="69" a="1"/>
  <c r="BF37" i="69" s="1"/>
  <c r="AL37" i="69" a="1"/>
  <c r="AL37" i="69" s="1"/>
  <c r="BJ67" i="4"/>
  <c r="BB67" i="4" s="1" a="1"/>
  <c r="BB67" i="4" s="1"/>
  <c r="BA67" i="69"/>
  <c r="AD67" i="69"/>
  <c r="G308" i="15"/>
  <c r="BF63" i="69" a="1"/>
  <c r="BF63" i="69" s="1"/>
  <c r="AL56" i="69" a="1"/>
  <c r="AL56" i="69" s="1"/>
  <c r="AI56" i="69" a="1"/>
  <c r="AI56" i="69" s="1"/>
  <c r="AO56" i="69" a="1"/>
  <c r="AO56" i="69" s="1"/>
  <c r="AN56" i="69" a="1"/>
  <c r="AN56" i="69" s="1"/>
  <c r="AG56" i="69" a="1"/>
  <c r="AG56" i="69" s="1"/>
  <c r="AR56" i="69" a="1"/>
  <c r="AR56" i="69" s="1"/>
  <c r="AS56" i="69" a="1"/>
  <c r="AS56" i="69" s="1"/>
  <c r="AM56" i="69" a="1"/>
  <c r="AM56" i="69" s="1"/>
  <c r="AP56" i="69" a="1"/>
  <c r="AP56" i="69" s="1"/>
  <c r="AX482" i="13"/>
  <c r="A581" i="13"/>
  <c r="BF59" i="69" a="1"/>
  <c r="BF59" i="69" s="1"/>
  <c r="AM59" i="69" a="1"/>
  <c r="AM59" i="69" s="1"/>
  <c r="AO59" i="69" a="1"/>
  <c r="AO59" i="69" s="1"/>
  <c r="AN59" i="69" a="1"/>
  <c r="AN59" i="69" s="1"/>
  <c r="AS59" i="69" a="1"/>
  <c r="AS59" i="69" s="1"/>
  <c r="AI59" i="69" a="1"/>
  <c r="AI59" i="69" s="1"/>
  <c r="AG59" i="69" a="1"/>
  <c r="AG59" i="69" s="1"/>
  <c r="AR59" i="69" a="1"/>
  <c r="AR59" i="69" s="1"/>
  <c r="AP59" i="69" a="1"/>
  <c r="AP59" i="69" s="1"/>
  <c r="BF64" i="69" a="1"/>
  <c r="BF64" i="69" s="1"/>
  <c r="AV1250" i="13"/>
  <c r="B60" i="69"/>
  <c r="AG90" i="69" a="1"/>
  <c r="AG90" i="69" s="1"/>
  <c r="AN90" i="69" a="1"/>
  <c r="AN90" i="69" s="1"/>
  <c r="AO90" i="69" a="1"/>
  <c r="AO90" i="69" s="1"/>
  <c r="AS90" i="69" a="1"/>
  <c r="AS90" i="69" s="1"/>
  <c r="AI90" i="69" a="1"/>
  <c r="AI90" i="69" s="1"/>
  <c r="AM90" i="69" a="1"/>
  <c r="AM90" i="69" s="1"/>
  <c r="AR90" i="69" a="1"/>
  <c r="AR90" i="69" s="1"/>
  <c r="AP90" i="69" a="1"/>
  <c r="AP90" i="69" s="1"/>
  <c r="BJ9" i="4"/>
  <c r="BB9" i="4" s="1" a="1"/>
  <c r="BB9" i="4" s="1"/>
  <c r="BA9" i="69"/>
  <c r="AD9" i="69"/>
  <c r="G191" i="15"/>
  <c r="AO23" i="4"/>
  <c r="AN23" i="4"/>
  <c r="AO34" i="4"/>
  <c r="AN34" i="4"/>
  <c r="AP43" i="69" a="1"/>
  <c r="AP43" i="69" s="1"/>
  <c r="AS43" i="69" a="1"/>
  <c r="AS43" i="69" s="1"/>
  <c r="AM43" i="69" a="1"/>
  <c r="AM43" i="69" s="1"/>
  <c r="AR43" i="69" a="1"/>
  <c r="AR43" i="69" s="1"/>
  <c r="AO43" i="69" a="1"/>
  <c r="AO43" i="69" s="1"/>
  <c r="AL43" i="69" a="1"/>
  <c r="AL43" i="69" s="1"/>
  <c r="AH43" i="69" a="1"/>
  <c r="AH43" i="69" s="1"/>
  <c r="BF43" i="69" a="1"/>
  <c r="BF43" i="69" s="1"/>
  <c r="AL73" i="69" a="1"/>
  <c r="AL73" i="69" s="1"/>
  <c r="AN73" i="69" a="1"/>
  <c r="AN73" i="69" s="1"/>
  <c r="AG73" i="69" a="1"/>
  <c r="AG73" i="69" s="1"/>
  <c r="AM73" i="69" a="1"/>
  <c r="AM73" i="69" s="1"/>
  <c r="AI73" i="69" a="1"/>
  <c r="AI73" i="69" s="1"/>
  <c r="AS73" i="69" a="1"/>
  <c r="AS73" i="69" s="1"/>
  <c r="AR73" i="69" a="1"/>
  <c r="AR73" i="69" s="1"/>
  <c r="AO73" i="69" a="1"/>
  <c r="AO73" i="69" s="1"/>
  <c r="AP73" i="69" a="1"/>
  <c r="AP73" i="69" s="1"/>
  <c r="BF73" i="69" a="1"/>
  <c r="BF73" i="69" s="1"/>
  <c r="AH73" i="69" a="1"/>
  <c r="AH73" i="69" s="1"/>
  <c r="AL60" i="69" a="1"/>
  <c r="AL60" i="69" s="1"/>
  <c r="AX407" i="13"/>
  <c r="A506" i="13"/>
  <c r="BJ74" i="69"/>
  <c r="BG74" i="69"/>
  <c r="BJ71" i="4"/>
  <c r="BB71" i="4" s="1" a="1"/>
  <c r="BB71" i="4" s="1"/>
  <c r="BA71" i="69"/>
  <c r="AD71" i="69"/>
  <c r="U39" i="69" a="1"/>
  <c r="U39" i="69" s="1"/>
  <c r="U47" i="69" a="1"/>
  <c r="U47" i="69" s="1"/>
  <c r="U89" i="69" a="1"/>
  <c r="U89" i="69" s="1"/>
  <c r="U48" i="69" a="1"/>
  <c r="U48" i="69" s="1"/>
  <c r="U31" i="69" a="1"/>
  <c r="U31" i="69" s="1"/>
  <c r="U43" i="69" a="1"/>
  <c r="U43" i="69" s="1"/>
  <c r="CW55" i="4" a="1"/>
  <c r="CW55" i="4" s="1"/>
  <c r="M3" i="1" s="1" a="1"/>
  <c r="M3" i="1" s="1"/>
  <c r="M98" i="1" s="1"/>
  <c r="F55" i="4"/>
  <c r="Z1344" i="13"/>
  <c r="AT55" i="4"/>
  <c r="AV55" i="4"/>
  <c r="AV57" i="13"/>
  <c r="J55" i="4"/>
  <c r="AM55" i="4"/>
  <c r="AC55" i="69"/>
  <c r="AZ55" i="69"/>
  <c r="W90" i="22"/>
  <c r="BJ76" i="4"/>
  <c r="BB76" i="4" s="1" a="1"/>
  <c r="BB76" i="4" s="1"/>
  <c r="BA76" i="69"/>
  <c r="AD76" i="69"/>
  <c r="G356" i="15"/>
  <c r="BG62" i="69"/>
  <c r="G300" i="15"/>
  <c r="W55" i="4"/>
  <c r="P55" i="69"/>
  <c r="AE55" i="69" s="1" a="1"/>
  <c r="AE55" i="69" s="1"/>
  <c r="BF55" i="69" s="1" a="1"/>
  <c r="BF55" i="69" s="1"/>
  <c r="U81" i="69" l="1" a="1"/>
  <c r="U81" i="69" s="1"/>
  <c r="U93" i="69" a="1"/>
  <c r="U93" i="69" s="1"/>
  <c r="U56" i="69" a="1"/>
  <c r="U56" i="69" s="1"/>
  <c r="U69" i="69" a="1"/>
  <c r="U69" i="69" s="1"/>
  <c r="A10" i="27"/>
  <c r="U74" i="69" a="1"/>
  <c r="U74" i="69" s="1"/>
  <c r="U77" i="69" a="1"/>
  <c r="U77" i="69" s="1"/>
  <c r="U57" i="69" a="1"/>
  <c r="U57" i="69" s="1"/>
  <c r="U67" i="69" a="1"/>
  <c r="U67" i="69" s="1"/>
  <c r="A8" i="27"/>
  <c r="A7" i="27" s="1"/>
  <c r="U80" i="69" a="1"/>
  <c r="U80" i="69" s="1"/>
  <c r="AI96" i="4"/>
  <c r="U60" i="69" a="1"/>
  <c r="U60" i="69" s="1"/>
  <c r="U94" i="69" a="1"/>
  <c r="U94" i="69" s="1"/>
  <c r="U71" i="69" a="1"/>
  <c r="U71" i="69" s="1"/>
  <c r="U95" i="69" a="1"/>
  <c r="U95" i="69" s="1"/>
  <c r="U65" i="69" a="1"/>
  <c r="U65" i="69" s="1"/>
  <c r="U72" i="69" a="1"/>
  <c r="U72" i="69" s="1"/>
  <c r="U63" i="69" a="1"/>
  <c r="U63" i="69" s="1"/>
  <c r="U88" i="69" a="1"/>
  <c r="U88" i="69" s="1"/>
  <c r="U75" i="69" a="1"/>
  <c r="U75" i="69" s="1"/>
  <c r="U78" i="69" a="1"/>
  <c r="U78" i="69" s="1"/>
  <c r="U76" i="69" a="1"/>
  <c r="U76" i="69" s="1"/>
  <c r="U82" i="69" a="1"/>
  <c r="U82" i="69" s="1"/>
  <c r="U58" i="69" a="1"/>
  <c r="U58" i="69" s="1"/>
  <c r="U87" i="69" a="1"/>
  <c r="U87" i="69" s="1"/>
  <c r="U85" i="69" a="1"/>
  <c r="U85" i="69" s="1"/>
  <c r="U68" i="69" a="1"/>
  <c r="U68" i="69" s="1"/>
  <c r="U84" i="69" a="1"/>
  <c r="U84" i="69" s="1"/>
  <c r="U86" i="69" a="1"/>
  <c r="U86" i="69" s="1"/>
  <c r="U70" i="69" a="1"/>
  <c r="U70" i="69" s="1"/>
  <c r="U66" i="69" a="1"/>
  <c r="U66" i="69" s="1"/>
  <c r="U61" i="69" a="1"/>
  <c r="U61" i="69" s="1"/>
  <c r="U91" i="69" a="1"/>
  <c r="U91" i="69" s="1"/>
  <c r="U64" i="69" a="1"/>
  <c r="U64" i="69" s="1"/>
  <c r="U92" i="69" a="1"/>
  <c r="U92" i="69" s="1"/>
  <c r="U73" i="69" a="1"/>
  <c r="U73" i="69" s="1"/>
  <c r="U83" i="69" a="1"/>
  <c r="U83" i="69" s="1"/>
  <c r="BP192" i="4"/>
  <c r="BP107" i="4"/>
  <c r="AQ55" i="69" a="1"/>
  <c r="AQ55" i="69" s="1"/>
  <c r="AX506" i="13"/>
  <c r="A605" i="13"/>
  <c r="A680" i="13"/>
  <c r="AX581" i="13"/>
  <c r="A625" i="13"/>
  <c r="AX526" i="13"/>
  <c r="BJ60" i="4"/>
  <c r="BB60" i="4" s="1" a="1"/>
  <c r="BB60" i="4" s="1"/>
  <c r="BA60" i="69"/>
  <c r="AD60" i="69"/>
  <c r="AX561" i="13"/>
  <c r="A660" i="13"/>
  <c r="AX515" i="13"/>
  <c r="A614" i="13"/>
  <c r="A601" i="13"/>
  <c r="AX502" i="13"/>
  <c r="A609" i="13"/>
  <c r="AX510" i="13"/>
  <c r="A674" i="13"/>
  <c r="AX575" i="13"/>
  <c r="K55" i="69" a="1"/>
  <c r="K55" i="69" s="1"/>
  <c r="L55" i="69"/>
  <c r="AX508" i="13"/>
  <c r="A607" i="13"/>
  <c r="A612" i="13"/>
  <c r="AX513" i="13"/>
  <c r="AX529" i="13"/>
  <c r="A628" i="13"/>
  <c r="A671" i="13"/>
  <c r="AX572" i="13"/>
  <c r="A632" i="13"/>
  <c r="AX533" i="13"/>
  <c r="AX514" i="13"/>
  <c r="A613" i="13"/>
  <c r="AX566" i="13"/>
  <c r="A665" i="13"/>
  <c r="B36" i="14"/>
  <c r="C36" i="14"/>
  <c r="BB3" i="4" a="1"/>
  <c r="BB3" i="4" s="1"/>
  <c r="U79" i="69" a="1"/>
  <c r="U79" i="69" s="1"/>
  <c r="AX354" i="13"/>
  <c r="A453" i="13"/>
  <c r="P38" i="23"/>
  <c r="P51" i="14"/>
  <c r="Z51" i="23"/>
  <c r="A648" i="13"/>
  <c r="AX549" i="13"/>
  <c r="AX521" i="13"/>
  <c r="A620" i="13"/>
  <c r="AX503" i="13"/>
  <c r="A602" i="13"/>
  <c r="A652" i="13"/>
  <c r="AX553" i="13"/>
  <c r="AX571" i="13"/>
  <c r="A670" i="13"/>
  <c r="A657" i="13"/>
  <c r="AX558" i="13"/>
  <c r="AV552" i="13"/>
  <c r="BI55" i="4"/>
  <c r="BH102" i="4" s="1"/>
  <c r="Z1712" i="13" s="1"/>
  <c r="BE55" i="4"/>
  <c r="BE96" i="4" s="1"/>
  <c r="BB107" i="4" s="1"/>
  <c r="F96" i="4"/>
  <c r="AY104" i="4" s="1"/>
  <c r="BB106" i="4" s="1"/>
  <c r="BC106" i="4" s="1"/>
  <c r="U55" i="4"/>
  <c r="U96" i="4" s="1"/>
  <c r="BO55" i="4"/>
  <c r="A666" i="13"/>
  <c r="AX567" i="13"/>
  <c r="AX537" i="13"/>
  <c r="A636" i="13"/>
  <c r="AX577" i="13"/>
  <c r="A676" i="13"/>
  <c r="AX532" i="13"/>
  <c r="A631" i="13"/>
  <c r="A684" i="13"/>
  <c r="AX585" i="13"/>
  <c r="A557" i="13"/>
  <c r="AX458" i="13"/>
  <c r="A637" i="13"/>
  <c r="AX538" i="13"/>
  <c r="AX512" i="13"/>
  <c r="A611" i="13"/>
  <c r="A659" i="13"/>
  <c r="AX560" i="13"/>
  <c r="A639" i="13"/>
  <c r="AX540" i="13"/>
  <c r="AX587" i="13"/>
  <c r="A686" i="13"/>
  <c r="AX505" i="13"/>
  <c r="A604" i="13"/>
  <c r="A633" i="13"/>
  <c r="AX534" i="13"/>
  <c r="O21" i="69"/>
  <c r="BC21" i="69"/>
  <c r="AX520" i="13"/>
  <c r="A619" i="13"/>
  <c r="A634" i="13"/>
  <c r="AX535" i="13"/>
  <c r="AX570" i="13"/>
  <c r="A669" i="13"/>
  <c r="J35" i="14"/>
  <c r="U35" i="14"/>
  <c r="M35" i="14"/>
  <c r="V35" i="14"/>
  <c r="K35" i="14"/>
  <c r="W35" i="14"/>
  <c r="T35" i="14"/>
  <c r="G35" i="14"/>
  <c r="N35" i="14"/>
  <c r="S35" i="14"/>
  <c r="L35" i="14"/>
  <c r="Y35" i="14"/>
  <c r="F35" i="14"/>
  <c r="X35" i="14"/>
  <c r="P35" i="14"/>
  <c r="R35" i="14"/>
  <c r="H35" i="14"/>
  <c r="O35" i="14"/>
  <c r="Z35" i="14"/>
  <c r="I35" i="14"/>
  <c r="Q35" i="14"/>
  <c r="A667" i="13"/>
  <c r="AX568" i="13"/>
  <c r="AX556" i="13"/>
  <c r="A655" i="13"/>
  <c r="AX509" i="13"/>
  <c r="A608" i="13"/>
  <c r="A658" i="13"/>
  <c r="AX559" i="13"/>
  <c r="Z1759" i="13"/>
  <c r="AB1739" i="13"/>
  <c r="AV1739" i="13"/>
  <c r="AX531" i="13"/>
  <c r="A630" i="13"/>
  <c r="A641" i="13"/>
  <c r="AX542" i="13"/>
  <c r="A626" i="13"/>
  <c r="AX527" i="13"/>
  <c r="A646" i="13"/>
  <c r="AX547" i="13"/>
  <c r="BK55" i="69"/>
  <c r="AW55" i="69"/>
  <c r="AW96" i="69" s="1"/>
  <c r="AX55" i="69"/>
  <c r="AX96" i="69" s="1"/>
  <c r="BG55" i="69"/>
  <c r="AX546" i="13"/>
  <c r="A645" i="13"/>
  <c r="A599" i="13"/>
  <c r="AX500" i="13"/>
  <c r="A996" i="13"/>
  <c r="AX897" i="13"/>
  <c r="A643" i="13"/>
  <c r="AX544" i="13"/>
  <c r="AX519" i="13"/>
  <c r="A618" i="13"/>
  <c r="A683" i="13"/>
  <c r="AX584" i="13"/>
  <c r="AE96" i="4"/>
  <c r="AV1344" i="13"/>
  <c r="AI3" i="1" s="1" a="1"/>
  <c r="AI3" i="1" s="1"/>
  <c r="AI98" i="1" s="1"/>
  <c r="G55" i="69"/>
  <c r="AX576" i="13"/>
  <c r="A675" i="13"/>
  <c r="A606" i="13"/>
  <c r="AX507" i="13"/>
  <c r="BO192" i="4"/>
  <c r="A603" i="13"/>
  <c r="AX504" i="13"/>
  <c r="AX543" i="13"/>
  <c r="A642" i="13"/>
  <c r="AX536" i="13"/>
  <c r="A635" i="13"/>
  <c r="A662" i="13"/>
  <c r="AX563" i="13"/>
  <c r="AN21" i="4"/>
  <c r="AO21" i="4"/>
  <c r="A677" i="13"/>
  <c r="AX578" i="13"/>
  <c r="B12" i="27"/>
  <c r="D15" i="27"/>
  <c r="A623" i="13"/>
  <c r="AX524" i="13"/>
  <c r="AX562" i="13"/>
  <c r="A661" i="13"/>
  <c r="A664" i="13"/>
  <c r="AX565" i="13"/>
  <c r="A624" i="13"/>
  <c r="AX525" i="13"/>
  <c r="A638" i="13"/>
  <c r="AX539" i="13"/>
  <c r="AX574" i="13"/>
  <c r="A673" i="13"/>
  <c r="A616" i="13"/>
  <c r="AX517" i="13"/>
  <c r="AX888" i="13"/>
  <c r="A987" i="13"/>
  <c r="A647" i="13"/>
  <c r="AX548" i="13"/>
  <c r="C16" i="27"/>
  <c r="AX564" i="13"/>
  <c r="A663" i="13"/>
  <c r="Z1758" i="13"/>
  <c r="AV1718" i="13"/>
  <c r="AB1718" i="13"/>
  <c r="A653" i="13"/>
  <c r="AX554" i="13"/>
  <c r="AX528" i="13"/>
  <c r="A627" i="13"/>
  <c r="BN106" i="4"/>
  <c r="Z90" i="22"/>
  <c r="Y90" i="22"/>
  <c r="BN105" i="4"/>
  <c r="BJ21" i="4"/>
  <c r="BB21" i="4" s="1" a="1"/>
  <c r="BB21" i="4" s="1"/>
  <c r="BA21" i="69"/>
  <c r="AD21" i="69"/>
  <c r="AX590" i="13"/>
  <c r="A689" i="13"/>
  <c r="AH55" i="69" a="1"/>
  <c r="AH55" i="69" s="1"/>
  <c r="AI55" i="69" a="1"/>
  <c r="AI55" i="69" s="1"/>
  <c r="AR55" i="69" a="1"/>
  <c r="AR55" i="69" s="1"/>
  <c r="AM3" i="1" s="1" a="1"/>
  <c r="AM3" i="1" s="1"/>
  <c r="AM98" i="1" s="1"/>
  <c r="AG55" i="69" a="1"/>
  <c r="AG55" i="69" s="1"/>
  <c r="AO55" i="69" a="1"/>
  <c r="AO55" i="69" s="1"/>
  <c r="AO98" i="69" s="1"/>
  <c r="AS55" i="69" a="1"/>
  <c r="AS55" i="69" s="1"/>
  <c r="AS96" i="69" s="1"/>
  <c r="AN55" i="69" a="1"/>
  <c r="AN55" i="69" s="1"/>
  <c r="AM55" i="69" a="1"/>
  <c r="AM55" i="69" s="1"/>
  <c r="AM96" i="69" s="1"/>
  <c r="AP55" i="69" a="1"/>
  <c r="AP55" i="69" s="1"/>
  <c r="AL55" i="69" a="1"/>
  <c r="AL55" i="69" s="1"/>
  <c r="AV354" i="13"/>
  <c r="AM96" i="4"/>
  <c r="AX545" i="13"/>
  <c r="A644" i="13"/>
  <c r="AX516" i="13"/>
  <c r="A615" i="13"/>
  <c r="AX511" i="13"/>
  <c r="A610" i="13"/>
  <c r="F55" i="69"/>
  <c r="AX573" i="13"/>
  <c r="A672" i="13"/>
  <c r="AX589" i="13"/>
  <c r="A688" i="13"/>
  <c r="U55" i="69" a="1"/>
  <c r="U55" i="69" s="1"/>
  <c r="BO107" i="4"/>
  <c r="BN192" i="4"/>
  <c r="A650" i="13"/>
  <c r="AX551" i="13"/>
  <c r="AX522" i="13"/>
  <c r="A621" i="13"/>
  <c r="A649" i="13"/>
  <c r="AX550" i="13"/>
  <c r="AV1245" i="13"/>
  <c r="AG3" i="1" s="1" a="1"/>
  <c r="AG3" i="1" s="1"/>
  <c r="W96" i="4"/>
  <c r="B55" i="69"/>
  <c r="BX55" i="4"/>
  <c r="BX96" i="4" s="1"/>
  <c r="AS55" i="4" a="1"/>
  <c r="AS55" i="4" s="1"/>
  <c r="C55" i="69" s="1"/>
  <c r="D55" i="69" s="1" a="1"/>
  <c r="D55" i="69" s="1"/>
  <c r="K3" i="27" s="1" a="1"/>
  <c r="K3" i="27" s="1"/>
  <c r="AR55" i="4"/>
  <c r="V55" i="4"/>
  <c r="AQ55" i="4" a="1"/>
  <c r="AQ55" i="4" s="1"/>
  <c r="H55" i="69" s="1"/>
  <c r="BN55" i="4"/>
  <c r="A518" i="13"/>
  <c r="AX419" i="13"/>
  <c r="A629" i="13"/>
  <c r="AX530" i="13"/>
  <c r="AN60" i="4"/>
  <c r="AO60" i="4"/>
  <c r="AX582" i="13"/>
  <c r="A681" i="13"/>
  <c r="AB1738" i="13"/>
  <c r="AV1738" i="13"/>
  <c r="A679" i="13"/>
  <c r="AX580" i="13"/>
  <c r="BN103" i="4"/>
  <c r="Z1737" i="13" s="1"/>
  <c r="A622" i="13"/>
  <c r="AX523" i="13"/>
  <c r="U59" i="69" a="1"/>
  <c r="U59" i="69" s="1"/>
  <c r="AX569" i="13"/>
  <c r="A668" i="13"/>
  <c r="A640" i="13"/>
  <c r="AX541" i="13"/>
  <c r="AX583" i="13"/>
  <c r="A682" i="13"/>
  <c r="AX852" i="13"/>
  <c r="A951" i="13"/>
  <c r="A678" i="13"/>
  <c r="AX579" i="13"/>
  <c r="A685" i="13"/>
  <c r="AX586" i="13"/>
  <c r="AX588" i="13"/>
  <c r="A687" i="13"/>
  <c r="BN102" i="4"/>
  <c r="Z1717" i="13" s="1"/>
  <c r="AX102" i="4" l="1"/>
  <c r="AV201" i="4" s="1"/>
  <c r="BF103" i="4"/>
  <c r="AZ202" i="4" s="1"/>
  <c r="BF102" i="4"/>
  <c r="Z1710" i="13" s="1"/>
  <c r="BE103" i="4"/>
  <c r="Z1729" i="13" s="1"/>
  <c r="AB1729" i="13" s="1"/>
  <c r="BB102" i="4"/>
  <c r="Z1706" i="13" s="1"/>
  <c r="AB1706" i="13" s="1"/>
  <c r="BA103" i="4"/>
  <c r="AX202" i="4" s="1"/>
  <c r="BC102" i="4"/>
  <c r="Z1707" i="13" s="1"/>
  <c r="AV1707" i="13" s="1"/>
  <c r="BI96" i="4"/>
  <c r="BD102" i="4"/>
  <c r="Z1708" i="13" s="1"/>
  <c r="AY103" i="4"/>
  <c r="Z1724" i="13" s="1"/>
  <c r="G3" i="1" a="1"/>
  <c r="G3" i="1" s="1"/>
  <c r="G98" i="1" s="1"/>
  <c r="BM192" i="4"/>
  <c r="BA102" i="4"/>
  <c r="AX103" i="4"/>
  <c r="AV202" i="4" s="1"/>
  <c r="BK102" i="4"/>
  <c r="BG102" i="4"/>
  <c r="Z1711" i="13" s="1"/>
  <c r="AB1711" i="13" s="1"/>
  <c r="U96" i="69"/>
  <c r="AF55" i="69" a="1"/>
  <c r="AF55" i="69" s="1"/>
  <c r="AB1712" i="13"/>
  <c r="AV1712" i="13"/>
  <c r="AX638" i="13"/>
  <c r="A737" i="13"/>
  <c r="AX652" i="13"/>
  <c r="A751" i="13"/>
  <c r="A784" i="13"/>
  <c r="AX685" i="13"/>
  <c r="A1086" i="13"/>
  <c r="AX987" i="13"/>
  <c r="AX643" i="13"/>
  <c r="A742" i="13"/>
  <c r="AX622" i="13"/>
  <c r="A721" i="13"/>
  <c r="A757" i="13"/>
  <c r="AX658" i="13"/>
  <c r="AX678" i="13"/>
  <c r="A777" i="13"/>
  <c r="BB103" i="4"/>
  <c r="Z1726" i="13" s="1"/>
  <c r="AX629" i="13"/>
  <c r="A728" i="13"/>
  <c r="AX653" i="13"/>
  <c r="A752" i="13"/>
  <c r="BK103" i="4"/>
  <c r="AX661" i="13"/>
  <c r="A760" i="13"/>
  <c r="AX662" i="13"/>
  <c r="A761" i="13"/>
  <c r="A774" i="13"/>
  <c r="AX675" i="13"/>
  <c r="AX996" i="13"/>
  <c r="A1095" i="13"/>
  <c r="A745" i="13"/>
  <c r="AX646" i="13"/>
  <c r="AX608" i="13"/>
  <c r="A707" i="13"/>
  <c r="A758" i="13"/>
  <c r="AX659" i="13"/>
  <c r="A708" i="13"/>
  <c r="AX609" i="13"/>
  <c r="A781" i="13"/>
  <c r="AX682" i="13"/>
  <c r="AX951" i="13"/>
  <c r="A1050" i="13"/>
  <c r="A748" i="13"/>
  <c r="AX649" i="13"/>
  <c r="A771" i="13"/>
  <c r="AX672" i="13"/>
  <c r="AX657" i="13"/>
  <c r="A756" i="13"/>
  <c r="A747" i="13"/>
  <c r="AX648" i="13"/>
  <c r="AX612" i="13"/>
  <c r="A711" i="13"/>
  <c r="A779" i="13"/>
  <c r="AX680" i="13"/>
  <c r="A710" i="13"/>
  <c r="AX611" i="13"/>
  <c r="AV1737" i="13"/>
  <c r="AB1737" i="13"/>
  <c r="A617" i="13"/>
  <c r="AX518" i="13"/>
  <c r="A720" i="13"/>
  <c r="AX621" i="13"/>
  <c r="BD103" i="4"/>
  <c r="A725" i="13"/>
  <c r="AX626" i="13"/>
  <c r="A754" i="13"/>
  <c r="AX655" i="13"/>
  <c r="AX633" i="13"/>
  <c r="A732" i="13"/>
  <c r="AX636" i="13"/>
  <c r="A735" i="13"/>
  <c r="BG103" i="4"/>
  <c r="Z1731" i="13" s="1"/>
  <c r="Z51" i="14"/>
  <c r="Z38" i="23"/>
  <c r="A764" i="13"/>
  <c r="AX665" i="13"/>
  <c r="A700" i="13"/>
  <c r="AX601" i="13"/>
  <c r="AX605" i="13"/>
  <c r="A704" i="13"/>
  <c r="A703" i="13"/>
  <c r="AX604" i="13"/>
  <c r="AY102" i="4"/>
  <c r="A706" i="13"/>
  <c r="AX607" i="13"/>
  <c r="A713" i="13"/>
  <c r="AX614" i="13"/>
  <c r="AX599" i="13"/>
  <c r="A698" i="13"/>
  <c r="AX641" i="13"/>
  <c r="A740" i="13"/>
  <c r="C35" i="14"/>
  <c r="B35" i="14"/>
  <c r="A736" i="13"/>
  <c r="AX637" i="13"/>
  <c r="AX670" i="13"/>
  <c r="A769" i="13"/>
  <c r="AX613" i="13"/>
  <c r="A712" i="13"/>
  <c r="BE102" i="4"/>
  <c r="Z1709" i="13" s="1"/>
  <c r="A715" i="13"/>
  <c r="AX616" i="13"/>
  <c r="A778" i="13"/>
  <c r="AX679" i="13"/>
  <c r="A709" i="13"/>
  <c r="AX610" i="13"/>
  <c r="A762" i="13"/>
  <c r="AX663" i="13"/>
  <c r="A772" i="13"/>
  <c r="AX673" i="13"/>
  <c r="AX650" i="13"/>
  <c r="A749" i="13"/>
  <c r="AX642" i="13"/>
  <c r="A741" i="13"/>
  <c r="A744" i="13"/>
  <c r="AX645" i="13"/>
  <c r="AX630" i="13"/>
  <c r="A729" i="13"/>
  <c r="A768" i="13"/>
  <c r="AX669" i="13"/>
  <c r="AX666" i="13"/>
  <c r="A765" i="13"/>
  <c r="AX453" i="13"/>
  <c r="A552" i="13"/>
  <c r="AX660" i="13"/>
  <c r="A759" i="13"/>
  <c r="O3" i="1" a="1"/>
  <c r="O3" i="1" s="1"/>
  <c r="O98" i="1" s="1"/>
  <c r="AV1717" i="13"/>
  <c r="AB1717" i="13"/>
  <c r="Z1757" i="13"/>
  <c r="A739" i="13"/>
  <c r="AX640" i="13"/>
  <c r="A714" i="13"/>
  <c r="AX615" i="13"/>
  <c r="AX683" i="13"/>
  <c r="A782" i="13"/>
  <c r="AX557" i="13"/>
  <c r="A656" i="13"/>
  <c r="M104" i="4" a="1"/>
  <c r="M104" i="4" s="1"/>
  <c r="BC55" i="69"/>
  <c r="O55" i="69"/>
  <c r="A731" i="13"/>
  <c r="AX632" i="13"/>
  <c r="AV1758" i="13"/>
  <c r="AB1758" i="13"/>
  <c r="A722" i="13"/>
  <c r="AX623" i="13"/>
  <c r="A734" i="13"/>
  <c r="AX635" i="13"/>
  <c r="AS97" i="69"/>
  <c r="AR96" i="69"/>
  <c r="BN107" i="4"/>
  <c r="A746" i="13"/>
  <c r="AX647" i="13"/>
  <c r="AO3" i="1" a="1"/>
  <c r="AO3" i="1" s="1"/>
  <c r="AO98" i="1" s="1"/>
  <c r="AX603" i="13"/>
  <c r="A702" i="13"/>
  <c r="AX634" i="13"/>
  <c r="A733" i="13"/>
  <c r="A783" i="13"/>
  <c r="AX684" i="13"/>
  <c r="A701" i="13"/>
  <c r="AX602" i="13"/>
  <c r="A776" i="13"/>
  <c r="AX677" i="13"/>
  <c r="A743" i="13"/>
  <c r="AX644" i="13"/>
  <c r="AI98" i="69"/>
  <c r="AI96" i="69"/>
  <c r="A726" i="13"/>
  <c r="AX627" i="13"/>
  <c r="A723" i="13"/>
  <c r="AX624" i="13"/>
  <c r="AB1759" i="13"/>
  <c r="AV1759" i="13"/>
  <c r="A718" i="13"/>
  <c r="AX619" i="13"/>
  <c r="A730" i="13"/>
  <c r="AX631" i="13"/>
  <c r="BC107" i="4"/>
  <c r="AX671" i="13"/>
  <c r="A770" i="13"/>
  <c r="V97" i="69"/>
  <c r="AX687" i="13"/>
  <c r="A786" i="13"/>
  <c r="AX668" i="13"/>
  <c r="A767" i="13"/>
  <c r="AX681" i="13"/>
  <c r="A780" i="13"/>
  <c r="AX618" i="13"/>
  <c r="A717" i="13"/>
  <c r="AX667" i="13"/>
  <c r="A766" i="13"/>
  <c r="A785" i="13"/>
  <c r="AX686" i="13"/>
  <c r="AX639" i="13"/>
  <c r="A738" i="13"/>
  <c r="BJ103" i="4"/>
  <c r="BJ55" i="4"/>
  <c r="BJ96" i="4" s="1"/>
  <c r="AD55" i="69"/>
  <c r="BA55" i="69"/>
  <c r="BA96" i="69" s="1"/>
  <c r="BM106" i="4"/>
  <c r="BM102" i="4"/>
  <c r="Z1716" i="13" s="1"/>
  <c r="BM103" i="4"/>
  <c r="BM105" i="4"/>
  <c r="A719" i="13"/>
  <c r="AX620" i="13"/>
  <c r="BC103" i="4"/>
  <c r="Z1727" i="13" s="1"/>
  <c r="AX628" i="13"/>
  <c r="A727" i="13"/>
  <c r="AX674" i="13"/>
  <c r="A773" i="13"/>
  <c r="S79" i="69"/>
  <c r="AF79" i="69" s="1" a="1"/>
  <c r="AF79" i="69" s="1"/>
  <c r="S65" i="69"/>
  <c r="AF65" i="69" s="1" a="1"/>
  <c r="AF65" i="69" s="1"/>
  <c r="S20" i="69"/>
  <c r="AF20" i="69" s="1" a="1"/>
  <c r="AF20" i="69" s="1"/>
  <c r="S4" i="69"/>
  <c r="AF4" i="69" s="1" a="1"/>
  <c r="AF4" i="69" s="1"/>
  <c r="S93" i="69"/>
  <c r="S3" i="69"/>
  <c r="AF3" i="69" s="1" a="1"/>
  <c r="AF3" i="69" s="1"/>
  <c r="S9" i="69"/>
  <c r="S57" i="69"/>
  <c r="AF57" i="69" s="1" a="1"/>
  <c r="AF57" i="69" s="1"/>
  <c r="S77" i="69"/>
  <c r="AF77" i="69" s="1" a="1"/>
  <c r="AF77" i="69" s="1"/>
  <c r="S33" i="69"/>
  <c r="AF33" i="69" s="1" a="1"/>
  <c r="AF33" i="69" s="1"/>
  <c r="S67" i="69"/>
  <c r="AF67" i="69" s="1" a="1"/>
  <c r="AF67" i="69" s="1"/>
  <c r="S95" i="69"/>
  <c r="AF95" i="69" s="1" a="1"/>
  <c r="AF95" i="69" s="1"/>
  <c r="S63" i="69"/>
  <c r="AF63" i="69" s="1" a="1"/>
  <c r="AF63" i="69" s="1"/>
  <c r="S27" i="69"/>
  <c r="AF27" i="69" s="1" a="1"/>
  <c r="AF27" i="69" s="1"/>
  <c r="S64" i="69"/>
  <c r="AF64" i="69" s="1" a="1"/>
  <c r="AF64" i="69" s="1"/>
  <c r="S78" i="69"/>
  <c r="AF78" i="69" s="1" a="1"/>
  <c r="AF78" i="69" s="1"/>
  <c r="S72" i="69"/>
  <c r="AF72" i="69" s="1" a="1"/>
  <c r="AF72" i="69" s="1"/>
  <c r="S73" i="69"/>
  <c r="AF73" i="69" s="1" a="1"/>
  <c r="AF73" i="69" s="1"/>
  <c r="S51" i="69"/>
  <c r="AF51" i="69" s="1" a="1"/>
  <c r="AF51" i="69" s="1"/>
  <c r="S88" i="69"/>
  <c r="AF88" i="69" s="1" a="1"/>
  <c r="AF88" i="69" s="1"/>
  <c r="S47" i="69"/>
  <c r="AF47" i="69" s="1" a="1"/>
  <c r="AF47" i="69" s="1"/>
  <c r="S82" i="69"/>
  <c r="AF82" i="69" s="1" a="1"/>
  <c r="AF82" i="69" s="1"/>
  <c r="S34" i="69"/>
  <c r="AF34" i="69" s="1" a="1"/>
  <c r="AF34" i="69" s="1"/>
  <c r="S68" i="69"/>
  <c r="AF68" i="69" s="1" a="1"/>
  <c r="AF68" i="69" s="1"/>
  <c r="S37" i="69"/>
  <c r="AF37" i="69" s="1" a="1"/>
  <c r="AF37" i="69" s="1"/>
  <c r="S35" i="69"/>
  <c r="AF35" i="69" s="1" a="1"/>
  <c r="AF35" i="69" s="1"/>
  <c r="S84" i="69"/>
  <c r="AF84" i="69" s="1" a="1"/>
  <c r="AF84" i="69" s="1"/>
  <c r="S85" i="69"/>
  <c r="AF85" i="69" s="1" a="1"/>
  <c r="AF85" i="69" s="1"/>
  <c r="S71" i="69"/>
  <c r="AF71" i="69" s="1" a="1"/>
  <c r="AF71" i="69" s="1"/>
  <c r="S10" i="69"/>
  <c r="AF10" i="69" s="1" a="1"/>
  <c r="AF10" i="69" s="1"/>
  <c r="S12" i="69"/>
  <c r="AF12" i="69" s="1" a="1"/>
  <c r="AF12" i="69" s="1"/>
  <c r="S54" i="69"/>
  <c r="AF54" i="69" s="1" a="1"/>
  <c r="AF54" i="69" s="1"/>
  <c r="S55" i="69"/>
  <c r="S48" i="69"/>
  <c r="AF48" i="69" s="1" a="1"/>
  <c r="AF48" i="69" s="1"/>
  <c r="S75" i="69"/>
  <c r="AF75" i="69" s="1" a="1"/>
  <c r="AF75" i="69" s="1"/>
  <c r="S19" i="69"/>
  <c r="AF19" i="69" s="1" a="1"/>
  <c r="AF19" i="69" s="1"/>
  <c r="S50" i="69"/>
  <c r="AF50" i="69" s="1" a="1"/>
  <c r="AF50" i="69" s="1"/>
  <c r="S92" i="69"/>
  <c r="AF92" i="69" s="1" a="1"/>
  <c r="AF92" i="69" s="1"/>
  <c r="S44" i="69"/>
  <c r="AF44" i="69" s="1" a="1"/>
  <c r="AF44" i="69" s="1"/>
  <c r="S17" i="69"/>
  <c r="AF17" i="69" s="1" a="1"/>
  <c r="AF17" i="69" s="1"/>
  <c r="S26" i="69"/>
  <c r="AF26" i="69" s="1" a="1"/>
  <c r="AF26" i="69" s="1"/>
  <c r="S42" i="69"/>
  <c r="AF42" i="69" s="1" a="1"/>
  <c r="AF42" i="69" s="1"/>
  <c r="S66" i="69"/>
  <c r="AF66" i="69" s="1" a="1"/>
  <c r="AF66" i="69" s="1"/>
  <c r="S25" i="69"/>
  <c r="AF25" i="69" s="1" a="1"/>
  <c r="AF25" i="69" s="1"/>
  <c r="S18" i="69"/>
  <c r="AF18" i="69" s="1" a="1"/>
  <c r="AF18" i="69" s="1"/>
  <c r="S90" i="69"/>
  <c r="AF90" i="69" s="1" a="1"/>
  <c r="AF90" i="69" s="1"/>
  <c r="S28" i="69"/>
  <c r="AF28" i="69" s="1" a="1"/>
  <c r="AF28" i="69" s="1"/>
  <c r="S8" i="69"/>
  <c r="AF8" i="69" s="1" a="1"/>
  <c r="AF8" i="69" s="1"/>
  <c r="S39" i="69"/>
  <c r="AF39" i="69" s="1" a="1"/>
  <c r="AF39" i="69" s="1"/>
  <c r="S40" i="69"/>
  <c r="AF40" i="69" s="1" a="1"/>
  <c r="AF40" i="69" s="1"/>
  <c r="S21" i="69"/>
  <c r="AF21" i="69" s="1" a="1"/>
  <c r="AF21" i="69" s="1"/>
  <c r="S52" i="69"/>
  <c r="AF52" i="69" s="1" a="1"/>
  <c r="AF52" i="69" s="1"/>
  <c r="S13" i="69"/>
  <c r="AF13" i="69" s="1" a="1"/>
  <c r="AF13" i="69" s="1"/>
  <c r="S49" i="69"/>
  <c r="AF49" i="69" s="1" a="1"/>
  <c r="AF49" i="69" s="1"/>
  <c r="S91" i="69"/>
  <c r="AF91" i="69" s="1" a="1"/>
  <c r="AF91" i="69" s="1"/>
  <c r="S6" i="69"/>
  <c r="AF6" i="69" s="1" a="1"/>
  <c r="AF6" i="69" s="1"/>
  <c r="AG98" i="1"/>
  <c r="S36" i="69"/>
  <c r="AF36" i="69" s="1" a="1"/>
  <c r="AF36" i="69" s="1"/>
  <c r="S94" i="69"/>
  <c r="AF94" i="69" s="1" a="1"/>
  <c r="AF94" i="69" s="1"/>
  <c r="S5" i="69"/>
  <c r="AF5" i="69" s="1" a="1"/>
  <c r="AF5" i="69" s="1"/>
  <c r="S46" i="69"/>
  <c r="AF46" i="69" s="1" a="1"/>
  <c r="AF46" i="69" s="1"/>
  <c r="S89" i="69"/>
  <c r="AF89" i="69" s="1" a="1"/>
  <c r="AF89" i="69" s="1"/>
  <c r="S32" i="69"/>
  <c r="AF32" i="69" s="1" a="1"/>
  <c r="AF32" i="69" s="1"/>
  <c r="S31" i="69"/>
  <c r="AF31" i="69" s="1" a="1"/>
  <c r="AF31" i="69" s="1"/>
  <c r="S74" i="69"/>
  <c r="AF74" i="69" s="1" a="1"/>
  <c r="AF74" i="69" s="1"/>
  <c r="S16" i="69"/>
  <c r="AF16" i="69" s="1" a="1"/>
  <c r="AF16" i="69" s="1"/>
  <c r="S11" i="69"/>
  <c r="AF11" i="69" s="1" a="1"/>
  <c r="AF11" i="69" s="1"/>
  <c r="S59" i="69"/>
  <c r="AF59" i="69" s="1" a="1"/>
  <c r="AF59" i="69" s="1"/>
  <c r="S69" i="69"/>
  <c r="AF69" i="69" s="1" a="1"/>
  <c r="AF69" i="69" s="1"/>
  <c r="S86" i="69"/>
  <c r="AF86" i="69" s="1" a="1"/>
  <c r="AF86" i="69" s="1"/>
  <c r="S22" i="69"/>
  <c r="AF22" i="69" s="1" a="1"/>
  <c r="AF22" i="69" s="1"/>
  <c r="S38" i="69"/>
  <c r="AF38" i="69" s="1" a="1"/>
  <c r="AF38" i="69" s="1"/>
  <c r="S43" i="69"/>
  <c r="AF43" i="69" s="1" a="1"/>
  <c r="AF43" i="69" s="1"/>
  <c r="S23" i="69"/>
  <c r="AF23" i="69" s="1" a="1"/>
  <c r="AF23" i="69" s="1"/>
  <c r="S87" i="69"/>
  <c r="AF87" i="69" s="1" a="1"/>
  <c r="AF87" i="69" s="1"/>
  <c r="S45" i="69"/>
  <c r="AF45" i="69" s="1" a="1"/>
  <c r="AF45" i="69" s="1"/>
  <c r="S76" i="69"/>
  <c r="AF76" i="69" s="1" a="1"/>
  <c r="AF76" i="69" s="1"/>
  <c r="S58" i="69"/>
  <c r="AF58" i="69" s="1" a="1"/>
  <c r="AF58" i="69" s="1"/>
  <c r="S29" i="69"/>
  <c r="AF29" i="69" s="1" a="1"/>
  <c r="AF29" i="69" s="1"/>
  <c r="S15" i="69"/>
  <c r="AF15" i="69" s="1" a="1"/>
  <c r="AF15" i="69" s="1"/>
  <c r="S7" i="69"/>
  <c r="S14" i="69"/>
  <c r="AF14" i="69" s="1" a="1"/>
  <c r="AF14" i="69" s="1"/>
  <c r="S60" i="69"/>
  <c r="AF60" i="69" s="1" a="1"/>
  <c r="AF60" i="69" s="1"/>
  <c r="S70" i="69"/>
  <c r="AF70" i="69" s="1" a="1"/>
  <c r="AF70" i="69" s="1"/>
  <c r="S53" i="69"/>
  <c r="AF53" i="69" s="1" a="1"/>
  <c r="AF53" i="69" s="1"/>
  <c r="S41" i="69"/>
  <c r="AF41" i="69" s="1" a="1"/>
  <c r="AF41" i="69" s="1"/>
  <c r="S61" i="69"/>
  <c r="AF61" i="69" s="1" a="1"/>
  <c r="AF61" i="69" s="1"/>
  <c r="S24" i="69"/>
  <c r="AF24" i="69" s="1" a="1"/>
  <c r="AF24" i="69" s="1"/>
  <c r="S30" i="69"/>
  <c r="AF30" i="69" s="1" a="1"/>
  <c r="AF30" i="69" s="1"/>
  <c r="S81" i="69"/>
  <c r="AF81" i="69" s="1" a="1"/>
  <c r="AF81" i="69" s="1"/>
  <c r="S56" i="69"/>
  <c r="AF56" i="69" s="1" a="1"/>
  <c r="AF56" i="69" s="1"/>
  <c r="S62" i="69"/>
  <c r="AF62" i="69" s="1" a="1"/>
  <c r="AF62" i="69" s="1"/>
  <c r="S83" i="69"/>
  <c r="AF83" i="69" s="1" a="1"/>
  <c r="AF83" i="69" s="1"/>
  <c r="S80" i="69"/>
  <c r="AF80" i="69" s="1" a="1"/>
  <c r="AF80" i="69" s="1"/>
  <c r="A787" i="13"/>
  <c r="AX688" i="13"/>
  <c r="AV453" i="13"/>
  <c r="U3" i="1" s="1" a="1"/>
  <c r="U3" i="1" s="1"/>
  <c r="U98" i="1" s="1"/>
  <c r="S3" i="1" a="1"/>
  <c r="S3" i="1" s="1"/>
  <c r="S98" i="1" s="1"/>
  <c r="A788" i="13"/>
  <c r="AX689" i="13"/>
  <c r="AX664" i="13"/>
  <c r="A763" i="13"/>
  <c r="AX606" i="13"/>
  <c r="A705" i="13"/>
  <c r="A775" i="13"/>
  <c r="AX676" i="13"/>
  <c r="AN55" i="4"/>
  <c r="AO55" i="4"/>
  <c r="BJ102" i="4"/>
  <c r="A724" i="13"/>
  <c r="AX625" i="13"/>
  <c r="AT97" i="69"/>
  <c r="C1704" i="13" l="1"/>
  <c r="Z1730" i="13"/>
  <c r="Z1750" i="13" s="1"/>
  <c r="AV1729" i="13"/>
  <c r="AV102" i="4"/>
  <c r="AZ201" i="4"/>
  <c r="AZ203" i="4" s="1"/>
  <c r="BI102" i="4"/>
  <c r="Z1713" i="13" s="1"/>
  <c r="AV1713" i="13" s="1"/>
  <c r="Z1747" i="13"/>
  <c r="AB1747" i="13" s="1"/>
  <c r="AV1706" i="13"/>
  <c r="AV103" i="4"/>
  <c r="Z1725" i="13"/>
  <c r="AB1725" i="13" s="1"/>
  <c r="Z1741" i="13"/>
  <c r="AB1741" i="13" s="1"/>
  <c r="BE202" i="4"/>
  <c r="AB1707" i="13"/>
  <c r="Z1715" i="13"/>
  <c r="AB1715" i="13" s="1"/>
  <c r="C1724" i="13"/>
  <c r="AV1711" i="13"/>
  <c r="AX201" i="4"/>
  <c r="AX203" i="4" s="1"/>
  <c r="Z1705" i="13"/>
  <c r="AB1705" i="13" s="1"/>
  <c r="Z1720" i="13"/>
  <c r="AV1720" i="13" s="1"/>
  <c r="Z1751" i="13"/>
  <c r="AB1751" i="13" s="1"/>
  <c r="S96" i="69"/>
  <c r="BH103" i="4"/>
  <c r="Z1732" i="13" s="1"/>
  <c r="AV1732" i="13" s="1"/>
  <c r="A817" i="13"/>
  <c r="AX718" i="13"/>
  <c r="AX705" i="13"/>
  <c r="A804" i="13"/>
  <c r="AX788" i="13"/>
  <c r="A887" i="13"/>
  <c r="AF96" i="69"/>
  <c r="AB1709" i="13"/>
  <c r="AV1709" i="13"/>
  <c r="Z1749" i="13"/>
  <c r="A853" i="13"/>
  <c r="AX754" i="13"/>
  <c r="AX742" i="13"/>
  <c r="A841" i="13"/>
  <c r="AX727" i="13"/>
  <c r="A826" i="13"/>
  <c r="A874" i="13"/>
  <c r="AX775" i="13"/>
  <c r="AX780" i="13"/>
  <c r="A879" i="13"/>
  <c r="AX734" i="13"/>
  <c r="A833" i="13"/>
  <c r="A755" i="13"/>
  <c r="AX656" i="13"/>
  <c r="A811" i="13"/>
  <c r="AX712" i="13"/>
  <c r="AX698" i="13"/>
  <c r="A797" i="13"/>
  <c r="AX700" i="13"/>
  <c r="A799" i="13"/>
  <c r="A851" i="13"/>
  <c r="AX752" i="13"/>
  <c r="AX724" i="13"/>
  <c r="A823" i="13"/>
  <c r="A832" i="13"/>
  <c r="AX733" i="13"/>
  <c r="A806" i="13"/>
  <c r="AX707" i="13"/>
  <c r="A872" i="13"/>
  <c r="AX773" i="13"/>
  <c r="AX702" i="13"/>
  <c r="A801" i="13"/>
  <c r="AX739" i="13"/>
  <c r="A838" i="13"/>
  <c r="A867" i="13"/>
  <c r="AX768" i="13"/>
  <c r="A824" i="13"/>
  <c r="AX725" i="13"/>
  <c r="A846" i="13"/>
  <c r="AX747" i="13"/>
  <c r="AX1050" i="13"/>
  <c r="A1149" i="13"/>
  <c r="A886" i="13"/>
  <c r="AX787" i="13"/>
  <c r="BR102" i="4"/>
  <c r="BR103" i="4" s="1"/>
  <c r="BB55" i="4" a="1"/>
  <c r="BB55" i="4" s="1"/>
  <c r="AX767" i="13"/>
  <c r="A866" i="13"/>
  <c r="AX730" i="13"/>
  <c r="A829" i="13"/>
  <c r="AX743" i="13"/>
  <c r="A842" i="13"/>
  <c r="AX722" i="13"/>
  <c r="A821" i="13"/>
  <c r="AV1757" i="13"/>
  <c r="AB1757" i="13"/>
  <c r="A828" i="13"/>
  <c r="AX729" i="13"/>
  <c r="AX772" i="13"/>
  <c r="A871" i="13"/>
  <c r="AX769" i="13"/>
  <c r="A868" i="13"/>
  <c r="AX764" i="13"/>
  <c r="A863" i="13"/>
  <c r="Z1728" i="13"/>
  <c r="Z1748" i="13" s="1"/>
  <c r="BI103" i="4"/>
  <c r="Z1733" i="13" s="1"/>
  <c r="A809" i="13"/>
  <c r="AX710" i="13"/>
  <c r="AX756" i="13"/>
  <c r="A855" i="13"/>
  <c r="AX745" i="13"/>
  <c r="A844" i="13"/>
  <c r="A827" i="13"/>
  <c r="AX728" i="13"/>
  <c r="A1185" i="13"/>
  <c r="AX1086" i="13"/>
  <c r="A812" i="13"/>
  <c r="AX713" i="13"/>
  <c r="AV1708" i="13"/>
  <c r="AB1708" i="13"/>
  <c r="AX1095" i="13"/>
  <c r="A1194" i="13"/>
  <c r="A837" i="13"/>
  <c r="AX738" i="13"/>
  <c r="A875" i="13"/>
  <c r="AX776" i="13"/>
  <c r="AX762" i="13"/>
  <c r="A861" i="13"/>
  <c r="AV1726" i="13"/>
  <c r="AB1726" i="13"/>
  <c r="AX784" i="13"/>
  <c r="A883" i="13"/>
  <c r="AX744" i="13"/>
  <c r="A843" i="13"/>
  <c r="A835" i="13"/>
  <c r="AX736" i="13"/>
  <c r="AX706" i="13"/>
  <c r="A805" i="13"/>
  <c r="AV1731" i="13"/>
  <c r="AB1731" i="13"/>
  <c r="Z1740" i="13"/>
  <c r="Z1746" i="13"/>
  <c r="AX777" i="13"/>
  <c r="A876" i="13"/>
  <c r="AX751" i="13"/>
  <c r="A850" i="13"/>
  <c r="A881" i="13"/>
  <c r="AX782" i="13"/>
  <c r="AX759" i="13"/>
  <c r="A858" i="13"/>
  <c r="A840" i="13"/>
  <c r="AX741" i="13"/>
  <c r="AX709" i="13"/>
  <c r="A808" i="13"/>
  <c r="Z41" i="14"/>
  <c r="Z42" i="14"/>
  <c r="Z43" i="14"/>
  <c r="BE201" i="4"/>
  <c r="Z1704" i="13"/>
  <c r="AX735" i="13"/>
  <c r="A834" i="13"/>
  <c r="AV1710" i="13"/>
  <c r="AB1710" i="13"/>
  <c r="AX781" i="13"/>
  <c r="A880" i="13"/>
  <c r="AX774" i="13"/>
  <c r="A873" i="13"/>
  <c r="AF99" i="69"/>
  <c r="AX719" i="13"/>
  <c r="A818" i="13"/>
  <c r="A884" i="13"/>
  <c r="AX785" i="13"/>
  <c r="A869" i="13"/>
  <c r="AX770" i="13"/>
  <c r="F43" i="14"/>
  <c r="P43" i="14" s="1"/>
  <c r="F41" i="14"/>
  <c r="P41" i="14" s="1"/>
  <c r="F42" i="14"/>
  <c r="P42" i="14" s="1"/>
  <c r="F40" i="14"/>
  <c r="P40" i="14" s="1"/>
  <c r="AX761" i="13"/>
  <c r="A860" i="13"/>
  <c r="AX737" i="13"/>
  <c r="A836" i="13"/>
  <c r="A885" i="13"/>
  <c r="AX786" i="13"/>
  <c r="AB1727" i="13"/>
  <c r="Z1735" i="13"/>
  <c r="AV1727" i="13"/>
  <c r="AX763" i="13"/>
  <c r="A862" i="13"/>
  <c r="BM107" i="4"/>
  <c r="A865" i="13"/>
  <c r="AX766" i="13"/>
  <c r="A822" i="13"/>
  <c r="AX723" i="13"/>
  <c r="A800" i="13"/>
  <c r="AX701" i="13"/>
  <c r="A830" i="13"/>
  <c r="AX731" i="13"/>
  <c r="AX552" i="13"/>
  <c r="A651" i="13"/>
  <c r="AX749" i="13"/>
  <c r="A848" i="13"/>
  <c r="AX778" i="13"/>
  <c r="A877" i="13"/>
  <c r="AX703" i="13"/>
  <c r="A802" i="13"/>
  <c r="AX732" i="13"/>
  <c r="A831" i="13"/>
  <c r="AX720" i="13"/>
  <c r="A819" i="13"/>
  <c r="AX771" i="13"/>
  <c r="A870" i="13"/>
  <c r="AX708" i="13"/>
  <c r="A807" i="13"/>
  <c r="A856" i="13"/>
  <c r="AX757" i="13"/>
  <c r="AX746" i="13"/>
  <c r="A845" i="13"/>
  <c r="BM104" i="4"/>
  <c r="Z1736" i="13"/>
  <c r="Z1756" i="13" s="1"/>
  <c r="A813" i="13"/>
  <c r="AX714" i="13"/>
  <c r="AY202" i="4"/>
  <c r="AW202" i="4"/>
  <c r="A803" i="13"/>
  <c r="AX704" i="13"/>
  <c r="AX779" i="13"/>
  <c r="A878" i="13"/>
  <c r="A859" i="13"/>
  <c r="AX760" i="13"/>
  <c r="A820" i="13"/>
  <c r="AX721" i="13"/>
  <c r="AB1716" i="13"/>
  <c r="AV1716" i="13"/>
  <c r="AX717" i="13"/>
  <c r="A816" i="13"/>
  <c r="AX726" i="13"/>
  <c r="A825" i="13"/>
  <c r="A882" i="13"/>
  <c r="AX783" i="13"/>
  <c r="AW201" i="4"/>
  <c r="AV203" i="4"/>
  <c r="AX765" i="13"/>
  <c r="A864" i="13"/>
  <c r="BB202" i="4"/>
  <c r="A814" i="13"/>
  <c r="AX715" i="13"/>
  <c r="AX740" i="13"/>
  <c r="A839" i="13"/>
  <c r="AX617" i="13"/>
  <c r="A716" i="13"/>
  <c r="AX711" i="13"/>
  <c r="A810" i="13"/>
  <c r="A847" i="13"/>
  <c r="AX748" i="13"/>
  <c r="A857" i="13"/>
  <c r="AX758" i="13"/>
  <c r="AV1730" i="13" l="1"/>
  <c r="AB1730" i="13"/>
  <c r="AV1747" i="13"/>
  <c r="Z1753" i="13"/>
  <c r="AB1753" i="13" s="1"/>
  <c r="AB1713" i="13"/>
  <c r="BE203" i="4"/>
  <c r="AV1715" i="13"/>
  <c r="Z1734" i="13"/>
  <c r="AV1734" i="13" s="1"/>
  <c r="AV1741" i="13"/>
  <c r="BF202" i="4"/>
  <c r="BG202" i="4" s="1"/>
  <c r="AV1725" i="13"/>
  <c r="AV1705" i="13"/>
  <c r="AY201" i="4"/>
  <c r="BA201" i="4" s="1"/>
  <c r="BB201" i="4"/>
  <c r="BD201" i="4" s="1"/>
  <c r="BD203" i="4" s="1"/>
  <c r="Z1714" i="13"/>
  <c r="AV1714" i="13" s="1"/>
  <c r="Z1745" i="13"/>
  <c r="Z1754" i="13" s="1"/>
  <c r="AV1751" i="13"/>
  <c r="AB1720" i="13"/>
  <c r="Z1752" i="13"/>
  <c r="AV1752" i="13" s="1"/>
  <c r="AB1732" i="13"/>
  <c r="AX816" i="13"/>
  <c r="A915" i="13"/>
  <c r="AB1740" i="13"/>
  <c r="AV1740" i="13"/>
  <c r="AB1748" i="13"/>
  <c r="AV1748" i="13"/>
  <c r="A965" i="13"/>
  <c r="AX866" i="13"/>
  <c r="AX841" i="13"/>
  <c r="A940" i="13"/>
  <c r="AX857" i="13"/>
  <c r="A956" i="13"/>
  <c r="AX870" i="13"/>
  <c r="A969" i="13"/>
  <c r="AX882" i="13"/>
  <c r="A981" i="13"/>
  <c r="A977" i="13"/>
  <c r="AX878" i="13"/>
  <c r="A976" i="13"/>
  <c r="AX877" i="13"/>
  <c r="AX860" i="13"/>
  <c r="A959" i="13"/>
  <c r="AX834" i="13"/>
  <c r="A933" i="13"/>
  <c r="AB1746" i="13"/>
  <c r="AV1746" i="13"/>
  <c r="AX883" i="13"/>
  <c r="A982" i="13"/>
  <c r="AX837" i="13"/>
  <c r="A936" i="13"/>
  <c r="A943" i="13"/>
  <c r="AX844" i="13"/>
  <c r="AX871" i="13"/>
  <c r="A970" i="13"/>
  <c r="AX846" i="13"/>
  <c r="A945" i="13"/>
  <c r="AX806" i="13"/>
  <c r="A905" i="13"/>
  <c r="AX874" i="13"/>
  <c r="A973" i="13"/>
  <c r="A924" i="13"/>
  <c r="AX825" i="13"/>
  <c r="AX856" i="13"/>
  <c r="A955" i="13"/>
  <c r="AX865" i="13"/>
  <c r="A964" i="13"/>
  <c r="AX1194" i="13"/>
  <c r="A1293" i="13"/>
  <c r="AX829" i="13"/>
  <c r="A928" i="13"/>
  <c r="AX797" i="13"/>
  <c r="A896" i="13"/>
  <c r="AX826" i="13"/>
  <c r="A925" i="13"/>
  <c r="A986" i="13"/>
  <c r="AX887" i="13"/>
  <c r="A947" i="13"/>
  <c r="AX848" i="13"/>
  <c r="Z1721" i="13"/>
  <c r="Z1744" i="13"/>
  <c r="Z1761" i="13" s="1"/>
  <c r="A980" i="13"/>
  <c r="AX881" i="13"/>
  <c r="A954" i="13"/>
  <c r="AX855" i="13"/>
  <c r="A923" i="13"/>
  <c r="AX824" i="13"/>
  <c r="AX804" i="13"/>
  <c r="A903" i="13"/>
  <c r="AX867" i="13"/>
  <c r="A966" i="13"/>
  <c r="AX811" i="13"/>
  <c r="A910" i="13"/>
  <c r="BS102" i="4"/>
  <c r="BS103" i="4" s="1"/>
  <c r="BB96" i="4"/>
  <c r="AW98" i="4" s="1"/>
  <c r="BT102" i="4"/>
  <c r="BT103" i="4" s="1"/>
  <c r="AX838" i="13"/>
  <c r="A937" i="13"/>
  <c r="AX832" i="13"/>
  <c r="A931" i="13"/>
  <c r="A854" i="13"/>
  <c r="AX755" i="13"/>
  <c r="BL202" i="4"/>
  <c r="BA202" i="4"/>
  <c r="BI202" i="4" s="1"/>
  <c r="AX847" i="13"/>
  <c r="A946" i="13"/>
  <c r="AX819" i="13"/>
  <c r="A918" i="13"/>
  <c r="AB1735" i="13"/>
  <c r="AV1735" i="13"/>
  <c r="A979" i="13"/>
  <c r="AX880" i="13"/>
  <c r="A912" i="13"/>
  <c r="AX813" i="13"/>
  <c r="A907" i="13"/>
  <c r="AX808" i="13"/>
  <c r="A960" i="13"/>
  <c r="AX861" i="13"/>
  <c r="AX812" i="13"/>
  <c r="A911" i="13"/>
  <c r="AB1728" i="13"/>
  <c r="AV1728" i="13"/>
  <c r="AX801" i="13"/>
  <c r="A900" i="13"/>
  <c r="A922" i="13"/>
  <c r="AX823" i="13"/>
  <c r="A932" i="13"/>
  <c r="AX833" i="13"/>
  <c r="BF201" i="4"/>
  <c r="AX828" i="13"/>
  <c r="A927" i="13"/>
  <c r="A963" i="13"/>
  <c r="AX864" i="13"/>
  <c r="A750" i="13"/>
  <c r="AX651" i="13"/>
  <c r="A972" i="13"/>
  <c r="AX873" i="13"/>
  <c r="AV1756" i="13"/>
  <c r="AB1756" i="13"/>
  <c r="AX805" i="13"/>
  <c r="A904" i="13"/>
  <c r="AX863" i="13"/>
  <c r="A962" i="13"/>
  <c r="AX886" i="13"/>
  <c r="A985" i="13"/>
  <c r="AX853" i="13"/>
  <c r="A952" i="13"/>
  <c r="AX817" i="13"/>
  <c r="A916" i="13"/>
  <c r="AX809" i="13"/>
  <c r="A908" i="13"/>
  <c r="AV1733" i="13"/>
  <c r="AB1733" i="13"/>
  <c r="Z1760" i="13"/>
  <c r="A909" i="13"/>
  <c r="AX810" i="13"/>
  <c r="AX830" i="13"/>
  <c r="A929" i="13"/>
  <c r="A968" i="13"/>
  <c r="AX869" i="13"/>
  <c r="AX831" i="13"/>
  <c r="A930" i="13"/>
  <c r="AX800" i="13"/>
  <c r="A899" i="13"/>
  <c r="AX885" i="13"/>
  <c r="A984" i="13"/>
  <c r="AX884" i="13"/>
  <c r="A983" i="13"/>
  <c r="A934" i="13"/>
  <c r="AX835" i="13"/>
  <c r="A1284" i="13"/>
  <c r="AX1185" i="13"/>
  <c r="A920" i="13"/>
  <c r="AX821" i="13"/>
  <c r="AX1149" i="13"/>
  <c r="A1248" i="13"/>
  <c r="A978" i="13"/>
  <c r="AX879" i="13"/>
  <c r="AV1749" i="13"/>
  <c r="AB1749" i="13"/>
  <c r="AV1736" i="13"/>
  <c r="AB1736" i="13"/>
  <c r="A949" i="13"/>
  <c r="AX850" i="13"/>
  <c r="AX716" i="13"/>
  <c r="A815" i="13"/>
  <c r="AW203" i="4"/>
  <c r="A919" i="13"/>
  <c r="AX820" i="13"/>
  <c r="AX845" i="13"/>
  <c r="A944" i="13"/>
  <c r="AX836" i="13"/>
  <c r="A935" i="13"/>
  <c r="AV1750" i="13"/>
  <c r="AB1750" i="13"/>
  <c r="AX840" i="13"/>
  <c r="A939" i="13"/>
  <c r="AX876" i="13"/>
  <c r="A975" i="13"/>
  <c r="A942" i="13"/>
  <c r="AX843" i="13"/>
  <c r="AX875" i="13"/>
  <c r="A974" i="13"/>
  <c r="A967" i="13"/>
  <c r="AX868" i="13"/>
  <c r="AX872" i="13"/>
  <c r="A971" i="13"/>
  <c r="A950" i="13"/>
  <c r="AX851" i="13"/>
  <c r="Z1755" i="13"/>
  <c r="A913" i="13"/>
  <c r="AX814" i="13"/>
  <c r="AX807" i="13"/>
  <c r="A906" i="13"/>
  <c r="AX803" i="13"/>
  <c r="A902" i="13"/>
  <c r="AX862" i="13"/>
  <c r="A961" i="13"/>
  <c r="A901" i="13"/>
  <c r="AX802" i="13"/>
  <c r="A917" i="13"/>
  <c r="AX818" i="13"/>
  <c r="AX839" i="13"/>
  <c r="A938" i="13"/>
  <c r="AX859" i="13"/>
  <c r="A958" i="13"/>
  <c r="AX822" i="13"/>
  <c r="A921" i="13"/>
  <c r="AX858" i="13"/>
  <c r="A957" i="13"/>
  <c r="A926" i="13"/>
  <c r="AX827" i="13"/>
  <c r="AX842" i="13"/>
  <c r="A941" i="13"/>
  <c r="AX799" i="13"/>
  <c r="A898" i="13"/>
  <c r="AV1753" i="13" l="1"/>
  <c r="AB1734" i="13"/>
  <c r="BB203" i="4"/>
  <c r="AB1714" i="13"/>
  <c r="AY203" i="4"/>
  <c r="BL203" i="4" s="1"/>
  <c r="BL201" i="4"/>
  <c r="AV1745" i="13"/>
  <c r="AB1745" i="13"/>
  <c r="AB1752" i="13"/>
  <c r="BA203" i="4"/>
  <c r="BI203" i="4" s="1"/>
  <c r="A1058" i="13"/>
  <c r="AX959" i="13"/>
  <c r="A1019" i="13"/>
  <c r="AX920" i="13"/>
  <c r="A1061" i="13"/>
  <c r="AX962" i="13"/>
  <c r="AX937" i="13"/>
  <c r="A1036" i="13"/>
  <c r="A1022" i="13"/>
  <c r="AX923" i="13"/>
  <c r="A998" i="13"/>
  <c r="AX899" i="13"/>
  <c r="A1039" i="13"/>
  <c r="AX940" i="13"/>
  <c r="A1049" i="13"/>
  <c r="AX950" i="13"/>
  <c r="AX921" i="13"/>
  <c r="A1020" i="13"/>
  <c r="AX971" i="13"/>
  <c r="A1070" i="13"/>
  <c r="A1029" i="13"/>
  <c r="AX930" i="13"/>
  <c r="A1062" i="13"/>
  <c r="AX963" i="13"/>
  <c r="A995" i="13"/>
  <c r="AX896" i="13"/>
  <c r="A1054" i="13"/>
  <c r="AX955" i="13"/>
  <c r="AX954" i="13"/>
  <c r="A1053" i="13"/>
  <c r="AX943" i="13"/>
  <c r="A1042" i="13"/>
  <c r="AX976" i="13"/>
  <c r="A1075" i="13"/>
  <c r="AX965" i="13"/>
  <c r="A1064" i="13"/>
  <c r="A1035" i="13"/>
  <c r="AX936" i="13"/>
  <c r="AX980" i="13"/>
  <c r="A1079" i="13"/>
  <c r="AX924" i="13"/>
  <c r="A1023" i="13"/>
  <c r="A1076" i="13"/>
  <c r="AX977" i="13"/>
  <c r="A1003" i="13"/>
  <c r="AX904" i="13"/>
  <c r="AX938" i="13"/>
  <c r="A1037" i="13"/>
  <c r="AX901" i="13"/>
  <c r="A1000" i="13"/>
  <c r="AX925" i="13"/>
  <c r="A1024" i="13"/>
  <c r="AX961" i="13"/>
  <c r="A1060" i="13"/>
  <c r="A1026" i="13"/>
  <c r="AX927" i="13"/>
  <c r="AB1755" i="13"/>
  <c r="AV1755" i="13"/>
  <c r="AX815" i="13"/>
  <c r="A914" i="13"/>
  <c r="A1078" i="13"/>
  <c r="AX979" i="13"/>
  <c r="A1383" i="13"/>
  <c r="AX1284" i="13"/>
  <c r="AX911" i="13"/>
  <c r="A1010" i="13"/>
  <c r="BI201" i="4"/>
  <c r="A997" i="13"/>
  <c r="AX898" i="13"/>
  <c r="BF203" i="4"/>
  <c r="BK201" i="4"/>
  <c r="BG201" i="4"/>
  <c r="BG203" i="4" s="1"/>
  <c r="A1009" i="13"/>
  <c r="AX910" i="13"/>
  <c r="AX928" i="13"/>
  <c r="A1027" i="13"/>
  <c r="AX973" i="13"/>
  <c r="A1072" i="13"/>
  <c r="AX906" i="13"/>
  <c r="A1005" i="13"/>
  <c r="A1043" i="13"/>
  <c r="AX944" i="13"/>
  <c r="AX916" i="13"/>
  <c r="A1015" i="13"/>
  <c r="A1028" i="13"/>
  <c r="AX929" i="13"/>
  <c r="A1031" i="13"/>
  <c r="AX932" i="13"/>
  <c r="A1006" i="13"/>
  <c r="AX907" i="13"/>
  <c r="AX966" i="13"/>
  <c r="A1065" i="13"/>
  <c r="A1392" i="13"/>
  <c r="AX1293" i="13"/>
  <c r="A1004" i="13"/>
  <c r="AX905" i="13"/>
  <c r="AX969" i="13"/>
  <c r="A1068" i="13"/>
  <c r="AX926" i="13"/>
  <c r="A1025" i="13"/>
  <c r="AX957" i="13"/>
  <c r="A1056" i="13"/>
  <c r="AX970" i="13"/>
  <c r="A1069" i="13"/>
  <c r="A1048" i="13"/>
  <c r="AX949" i="13"/>
  <c r="AX908" i="13"/>
  <c r="A1007" i="13"/>
  <c r="A1017" i="13"/>
  <c r="AX918" i="13"/>
  <c r="A1001" i="13"/>
  <c r="AX902" i="13"/>
  <c r="A1066" i="13"/>
  <c r="AX967" i="13"/>
  <c r="AX934" i="13"/>
  <c r="A1033" i="13"/>
  <c r="A1073" i="13"/>
  <c r="AX974" i="13"/>
  <c r="AX960" i="13"/>
  <c r="A1059" i="13"/>
  <c r="AX981" i="13"/>
  <c r="A1080" i="13"/>
  <c r="AX941" i="13"/>
  <c r="A1040" i="13"/>
  <c r="A1071" i="13"/>
  <c r="AX972" i="13"/>
  <c r="A1016" i="13"/>
  <c r="AX917" i="13"/>
  <c r="AX942" i="13"/>
  <c r="A1041" i="13"/>
  <c r="A1077" i="13"/>
  <c r="AX978" i="13"/>
  <c r="A1051" i="13"/>
  <c r="AX952" i="13"/>
  <c r="AX947" i="13"/>
  <c r="A1046" i="13"/>
  <c r="A1038" i="13"/>
  <c r="AX939" i="13"/>
  <c r="AV1760" i="13"/>
  <c r="AB1760" i="13"/>
  <c r="A1063" i="13"/>
  <c r="AX964" i="13"/>
  <c r="AX958" i="13"/>
  <c r="A1057" i="13"/>
  <c r="AB1754" i="13"/>
  <c r="AV1754" i="13"/>
  <c r="A1034" i="13"/>
  <c r="AX935" i="13"/>
  <c r="AX946" i="13"/>
  <c r="A1045" i="13"/>
  <c r="AV1761" i="13"/>
  <c r="AB1761" i="13"/>
  <c r="A1081" i="13"/>
  <c r="AX982" i="13"/>
  <c r="A1067" i="13"/>
  <c r="AX968" i="13"/>
  <c r="AX983" i="13"/>
  <c r="A1082" i="13"/>
  <c r="AX913" i="13"/>
  <c r="A1012" i="13"/>
  <c r="A1074" i="13"/>
  <c r="AX975" i="13"/>
  <c r="AX919" i="13"/>
  <c r="A1018" i="13"/>
  <c r="A1347" i="13"/>
  <c r="AX1248" i="13"/>
  <c r="A1083" i="13"/>
  <c r="AX984" i="13"/>
  <c r="A849" i="13"/>
  <c r="AX750" i="13"/>
  <c r="AX922" i="13"/>
  <c r="A1021" i="13"/>
  <c r="A1011" i="13"/>
  <c r="AX912" i="13"/>
  <c r="AX854" i="13"/>
  <c r="A953" i="13"/>
  <c r="AX903" i="13"/>
  <c r="A1002" i="13"/>
  <c r="AX945" i="13"/>
  <c r="A1044" i="13"/>
  <c r="AX933" i="13"/>
  <c r="A1032" i="13"/>
  <c r="AX956" i="13"/>
  <c r="A1055" i="13"/>
  <c r="A1014" i="13"/>
  <c r="AX915" i="13"/>
  <c r="AX909" i="13"/>
  <c r="A1008" i="13"/>
  <c r="AX985" i="13"/>
  <c r="A1084" i="13"/>
  <c r="BK202" i="4"/>
  <c r="AX900" i="13"/>
  <c r="A999" i="13"/>
  <c r="AX931" i="13"/>
  <c r="A1030" i="13"/>
  <c r="A1085" i="13"/>
  <c r="AX986" i="13"/>
  <c r="BK203" i="4" l="1"/>
  <c r="AX914" i="13"/>
  <c r="A1013" i="13"/>
  <c r="A1136" i="13"/>
  <c r="AX1037" i="13"/>
  <c r="A1163" i="13"/>
  <c r="AX1064" i="13"/>
  <c r="AX1083" i="13"/>
  <c r="A1182" i="13"/>
  <c r="AX1067" i="13"/>
  <c r="A1166" i="13"/>
  <c r="A1176" i="13"/>
  <c r="AX1077" i="13"/>
  <c r="AX1004" i="13"/>
  <c r="A1103" i="13"/>
  <c r="AX1062" i="13"/>
  <c r="A1161" i="13"/>
  <c r="AX998" i="13"/>
  <c r="A1097" i="13"/>
  <c r="A1143" i="13"/>
  <c r="AX1044" i="13"/>
  <c r="A1183" i="13"/>
  <c r="AX1084" i="13"/>
  <c r="A1102" i="13"/>
  <c r="AX1003" i="13"/>
  <c r="AX1016" i="13"/>
  <c r="A1115" i="13"/>
  <c r="AX1026" i="13"/>
  <c r="A1125" i="13"/>
  <c r="A1175" i="13"/>
  <c r="AX1076" i="13"/>
  <c r="AX1059" i="13"/>
  <c r="A1158" i="13"/>
  <c r="AX1081" i="13"/>
  <c r="A1180" i="13"/>
  <c r="AX953" i="13"/>
  <c r="A1052" i="13"/>
  <c r="AX1056" i="13"/>
  <c r="A1155" i="13"/>
  <c r="AX1072" i="13"/>
  <c r="A1171" i="13"/>
  <c r="A1109" i="13"/>
  <c r="AX1010" i="13"/>
  <c r="AX1060" i="13"/>
  <c r="A1159" i="13"/>
  <c r="A1122" i="13"/>
  <c r="AX1023" i="13"/>
  <c r="A1152" i="13"/>
  <c r="AX1053" i="13"/>
  <c r="A1119" i="13"/>
  <c r="AX1020" i="13"/>
  <c r="A1446" i="13"/>
  <c r="AX1347" i="13"/>
  <c r="A1142" i="13"/>
  <c r="AX1043" i="13"/>
  <c r="A1107" i="13"/>
  <c r="AX1008" i="13"/>
  <c r="A1096" i="13"/>
  <c r="AX997" i="13"/>
  <c r="AX1066" i="13"/>
  <c r="A1165" i="13"/>
  <c r="AX1061" i="13"/>
  <c r="A1160" i="13"/>
  <c r="A1114" i="13"/>
  <c r="AX1015" i="13"/>
  <c r="A1117" i="13"/>
  <c r="AX1018" i="13"/>
  <c r="A1104" i="13"/>
  <c r="AX1005" i="13"/>
  <c r="AX1024" i="13"/>
  <c r="A1123" i="13"/>
  <c r="A1174" i="13"/>
  <c r="AX1075" i="13"/>
  <c r="AX1063" i="13"/>
  <c r="A1162" i="13"/>
  <c r="AX1392" i="13"/>
  <c r="A1491" i="13"/>
  <c r="AV1492" i="13"/>
  <c r="AV1590" i="13" s="1"/>
  <c r="AV1392" i="13"/>
  <c r="Z1491" i="13"/>
  <c r="AX1029" i="13"/>
  <c r="A1128" i="13"/>
  <c r="AX1069" i="13"/>
  <c r="A1168" i="13"/>
  <c r="A1169" i="13"/>
  <c r="AX1070" i="13"/>
  <c r="AX1014" i="13"/>
  <c r="A1113" i="13"/>
  <c r="A1173" i="13"/>
  <c r="AX1074" i="13"/>
  <c r="AX1038" i="13"/>
  <c r="A1137" i="13"/>
  <c r="AX1085" i="13"/>
  <c r="A1184" i="13"/>
  <c r="AX1012" i="13"/>
  <c r="A1111" i="13"/>
  <c r="A1139" i="13"/>
  <c r="AX1040" i="13"/>
  <c r="A1178" i="13"/>
  <c r="AX1079" i="13"/>
  <c r="A1129" i="13"/>
  <c r="AX1030" i="13"/>
  <c r="AX1034" i="13"/>
  <c r="A1133" i="13"/>
  <c r="AX1001" i="13"/>
  <c r="A1100" i="13"/>
  <c r="A1130" i="13"/>
  <c r="AX1031" i="13"/>
  <c r="AX1383" i="13"/>
  <c r="A1482" i="13"/>
  <c r="A1153" i="13"/>
  <c r="AX1054" i="13"/>
  <c r="AX1049" i="13"/>
  <c r="A1148" i="13"/>
  <c r="A1118" i="13"/>
  <c r="AX1019" i="13"/>
  <c r="A1106" i="13"/>
  <c r="AX1007" i="13"/>
  <c r="AX1041" i="13"/>
  <c r="A1140" i="13"/>
  <c r="A1172" i="13"/>
  <c r="AX1073" i="13"/>
  <c r="AX1022" i="13"/>
  <c r="A1121" i="13"/>
  <c r="A1164" i="13"/>
  <c r="AX1065" i="13"/>
  <c r="A1141" i="13"/>
  <c r="AX1042" i="13"/>
  <c r="AX1021" i="13"/>
  <c r="A1120" i="13"/>
  <c r="AX1046" i="13"/>
  <c r="A1145" i="13"/>
  <c r="A1124" i="13"/>
  <c r="AX1025" i="13"/>
  <c r="AX1027" i="13"/>
  <c r="A1126" i="13"/>
  <c r="A1131" i="13"/>
  <c r="AX1032" i="13"/>
  <c r="A1181" i="13"/>
  <c r="AX1082" i="13"/>
  <c r="AX1080" i="13"/>
  <c r="A1179" i="13"/>
  <c r="AX1068" i="13"/>
  <c r="A1167" i="13"/>
  <c r="AX1000" i="13"/>
  <c r="A1099" i="13"/>
  <c r="A1156" i="13"/>
  <c r="AX1057" i="13"/>
  <c r="A1101" i="13"/>
  <c r="AX1002" i="13"/>
  <c r="A1147" i="13"/>
  <c r="AX1048" i="13"/>
  <c r="A1132" i="13"/>
  <c r="AX1033" i="13"/>
  <c r="A1135" i="13"/>
  <c r="AX1036" i="13"/>
  <c r="AX1045" i="13"/>
  <c r="A1144" i="13"/>
  <c r="AX1011" i="13"/>
  <c r="A1110" i="13"/>
  <c r="AX1071" i="13"/>
  <c r="A1170" i="13"/>
  <c r="AX1006" i="13"/>
  <c r="A1105" i="13"/>
  <c r="AX1055" i="13"/>
  <c r="A1154" i="13"/>
  <c r="A1098" i="13"/>
  <c r="AX999" i="13"/>
  <c r="AX849" i="13"/>
  <c r="A948" i="13"/>
  <c r="A1150" i="13"/>
  <c r="AX1051" i="13"/>
  <c r="A1116" i="13"/>
  <c r="AX1017" i="13"/>
  <c r="A1127" i="13"/>
  <c r="AX1028" i="13"/>
  <c r="AX1009" i="13"/>
  <c r="A1108" i="13"/>
  <c r="A1177" i="13"/>
  <c r="AX1078" i="13"/>
  <c r="A1134" i="13"/>
  <c r="AX1035" i="13"/>
  <c r="AX995" i="13"/>
  <c r="A1094" i="13"/>
  <c r="AX1039" i="13"/>
  <c r="A1138" i="13"/>
  <c r="AX1058" i="13"/>
  <c r="A1157" i="13"/>
  <c r="AX1139" i="13" l="1"/>
  <c r="A1238" i="13"/>
  <c r="A1268" i="13"/>
  <c r="AX1169" i="13"/>
  <c r="AX1165" i="13"/>
  <c r="A1264" i="13"/>
  <c r="A1151" i="13"/>
  <c r="AX1052" i="13"/>
  <c r="AX1167" i="13"/>
  <c r="A1266" i="13"/>
  <c r="A1244" i="13"/>
  <c r="AX1145" i="13"/>
  <c r="A1239" i="13"/>
  <c r="AX1140" i="13"/>
  <c r="A1210" i="13"/>
  <c r="AX1111" i="13"/>
  <c r="AX1168" i="13"/>
  <c r="A1267" i="13"/>
  <c r="AX1174" i="13"/>
  <c r="A1273" i="13"/>
  <c r="A1251" i="13"/>
  <c r="AX1152" i="13"/>
  <c r="AX1102" i="13"/>
  <c r="A1201" i="13"/>
  <c r="AX1176" i="13"/>
  <c r="A1275" i="13"/>
  <c r="AX1134" i="13"/>
  <c r="A1233" i="13"/>
  <c r="A1197" i="13"/>
  <c r="AX1098" i="13"/>
  <c r="AX1123" i="13"/>
  <c r="A1222" i="13"/>
  <c r="A1207" i="13"/>
  <c r="AX1108" i="13"/>
  <c r="AX1184" i="13"/>
  <c r="A1283" i="13"/>
  <c r="AX1096" i="13"/>
  <c r="A1195" i="13"/>
  <c r="A1258" i="13"/>
  <c r="AX1159" i="13"/>
  <c r="AX1137" i="13"/>
  <c r="A1236" i="13"/>
  <c r="T4" i="4"/>
  <c r="Z1590" i="13"/>
  <c r="S4" i="4"/>
  <c r="A1203" i="13"/>
  <c r="AX1104" i="13"/>
  <c r="A1206" i="13"/>
  <c r="AX1107" i="13"/>
  <c r="A1242" i="13"/>
  <c r="AX1143" i="13"/>
  <c r="AX1177" i="13"/>
  <c r="A1276" i="13"/>
  <c r="A1265" i="13"/>
  <c r="AX1166" i="13"/>
  <c r="AX1120" i="13"/>
  <c r="A1219" i="13"/>
  <c r="A1227" i="13"/>
  <c r="AX1128" i="13"/>
  <c r="A1196" i="13"/>
  <c r="AX1097" i="13"/>
  <c r="A1221" i="13"/>
  <c r="AX1122" i="13"/>
  <c r="AX1175" i="13"/>
  <c r="A1274" i="13"/>
  <c r="A1262" i="13"/>
  <c r="AX1163" i="13"/>
  <c r="A1278" i="13"/>
  <c r="AX1179" i="13"/>
  <c r="AX1132" i="13"/>
  <c r="A1231" i="13"/>
  <c r="AX1124" i="13"/>
  <c r="A1223" i="13"/>
  <c r="A1253" i="13"/>
  <c r="AX1154" i="13"/>
  <c r="A1205" i="13"/>
  <c r="AX1106" i="13"/>
  <c r="AX1157" i="13"/>
  <c r="A1256" i="13"/>
  <c r="A1232" i="13"/>
  <c r="AX1133" i="13"/>
  <c r="AX1127" i="13"/>
  <c r="A1226" i="13"/>
  <c r="AX1181" i="13"/>
  <c r="A1280" i="13"/>
  <c r="A1237" i="13"/>
  <c r="AX1138" i="13"/>
  <c r="A1269" i="13"/>
  <c r="AX1170" i="13"/>
  <c r="AX1148" i="13"/>
  <c r="A1247" i="13"/>
  <c r="A1216" i="13"/>
  <c r="AX1117" i="13"/>
  <c r="AX1109" i="13"/>
  <c r="A1208" i="13"/>
  <c r="AX1131" i="13"/>
  <c r="A1230" i="13"/>
  <c r="AX1129" i="13"/>
  <c r="A1228" i="13"/>
  <c r="AX1171" i="13"/>
  <c r="A1270" i="13"/>
  <c r="A1193" i="13"/>
  <c r="AX1094" i="13"/>
  <c r="AX1110" i="13"/>
  <c r="A1209" i="13"/>
  <c r="A1225" i="13"/>
  <c r="AX1126" i="13"/>
  <c r="AX1121" i="13"/>
  <c r="A1220" i="13"/>
  <c r="AX1113" i="13"/>
  <c r="A1212" i="13"/>
  <c r="AX1114" i="13"/>
  <c r="A1213" i="13"/>
  <c r="Z1545" i="13"/>
  <c r="AV1546" i="13"/>
  <c r="AV1644" i="13" s="1"/>
  <c r="A1545" i="13"/>
  <c r="AV1446" i="13"/>
  <c r="AX1446" i="13"/>
  <c r="AX1136" i="13"/>
  <c r="A1235" i="13"/>
  <c r="AX1172" i="13"/>
  <c r="A1271" i="13"/>
  <c r="AX1135" i="13"/>
  <c r="A1234" i="13"/>
  <c r="A1282" i="13"/>
  <c r="AX1183" i="13"/>
  <c r="AX1158" i="13"/>
  <c r="A1257" i="13"/>
  <c r="AX1141" i="13"/>
  <c r="A1240" i="13"/>
  <c r="AX1142" i="13"/>
  <c r="A1241" i="13"/>
  <c r="AX1116" i="13"/>
  <c r="A1215" i="13"/>
  <c r="A1200" i="13"/>
  <c r="AX1101" i="13"/>
  <c r="A1590" i="13"/>
  <c r="AX1590" i="13" s="1"/>
  <c r="AX1491" i="13"/>
  <c r="A1224" i="13"/>
  <c r="AX1125" i="13"/>
  <c r="AX1150" i="13"/>
  <c r="A1249" i="13"/>
  <c r="A1255" i="13"/>
  <c r="AX1156" i="13"/>
  <c r="AX1153" i="13"/>
  <c r="A1252" i="13"/>
  <c r="AX1178" i="13"/>
  <c r="A1277" i="13"/>
  <c r="AX1162" i="13"/>
  <c r="A1261" i="13"/>
  <c r="AX1160" i="13"/>
  <c r="A1259" i="13"/>
  <c r="AX1155" i="13"/>
  <c r="A1254" i="13"/>
  <c r="A1214" i="13"/>
  <c r="AX1115" i="13"/>
  <c r="AX1103" i="13"/>
  <c r="A1202" i="13"/>
  <c r="A1112" i="13"/>
  <c r="AX1013" i="13"/>
  <c r="A1229" i="13"/>
  <c r="AX1130" i="13"/>
  <c r="AX1180" i="13"/>
  <c r="A1279" i="13"/>
  <c r="A1199" i="13"/>
  <c r="AX1100" i="13"/>
  <c r="A1281" i="13"/>
  <c r="AX1182" i="13"/>
  <c r="A1204" i="13"/>
  <c r="AX1105" i="13"/>
  <c r="AX1147" i="13"/>
  <c r="A1246" i="13"/>
  <c r="A1217" i="13"/>
  <c r="AX1118" i="13"/>
  <c r="A1263" i="13"/>
  <c r="AX1164" i="13"/>
  <c r="A1272" i="13"/>
  <c r="AX1173" i="13"/>
  <c r="AX1161" i="13"/>
  <c r="A1260" i="13"/>
  <c r="AX948" i="13"/>
  <c r="A1047" i="13"/>
  <c r="AX1144" i="13"/>
  <c r="A1243" i="13"/>
  <c r="A1198" i="13"/>
  <c r="AX1099" i="13"/>
  <c r="A1581" i="13"/>
  <c r="AX1482" i="13"/>
  <c r="AV1482" i="13"/>
  <c r="Z1581" i="13"/>
  <c r="AV1582" i="13"/>
  <c r="AV1680" i="13" s="1"/>
  <c r="A1218" i="13"/>
  <c r="AX1119" i="13"/>
  <c r="AX1260" i="13" l="1"/>
  <c r="A1359" i="13"/>
  <c r="A1380" i="13"/>
  <c r="AX1281" i="13"/>
  <c r="AX1214" i="13"/>
  <c r="A1313" i="13"/>
  <c r="A1354" i="13"/>
  <c r="AX1255" i="13"/>
  <c r="A1307" i="13"/>
  <c r="AX1208" i="13"/>
  <c r="A1325" i="13"/>
  <c r="AX1226" i="13"/>
  <c r="A1330" i="13"/>
  <c r="AX1231" i="13"/>
  <c r="AX1244" i="13"/>
  <c r="A1343" i="13"/>
  <c r="A1334" i="13"/>
  <c r="AX1235" i="13"/>
  <c r="A1295" i="13"/>
  <c r="AX1196" i="13"/>
  <c r="A1308" i="13"/>
  <c r="AX1209" i="13"/>
  <c r="AX1232" i="13"/>
  <c r="A1331" i="13"/>
  <c r="A1323" i="13"/>
  <c r="AX1224" i="13"/>
  <c r="AX1151" i="13"/>
  <c r="A1250" i="13"/>
  <c r="A1300" i="13"/>
  <c r="AX1201" i="13"/>
  <c r="A1353" i="13"/>
  <c r="AX1254" i="13"/>
  <c r="A1318" i="13"/>
  <c r="AX1219" i="13"/>
  <c r="A1356" i="13"/>
  <c r="AX1257" i="13"/>
  <c r="AX1261" i="13"/>
  <c r="A1360" i="13"/>
  <c r="A1292" i="13"/>
  <c r="AX1193" i="13"/>
  <c r="A1361" i="13"/>
  <c r="AX1262" i="13"/>
  <c r="AX1265" i="13"/>
  <c r="A1364" i="13"/>
  <c r="A1335" i="13"/>
  <c r="AX1236" i="13"/>
  <c r="AX1267" i="13"/>
  <c r="A1366" i="13"/>
  <c r="AX1264" i="13"/>
  <c r="A1363" i="13"/>
  <c r="A1324" i="13"/>
  <c r="AX1225" i="13"/>
  <c r="A1365" i="13"/>
  <c r="AX1266" i="13"/>
  <c r="AX1207" i="13"/>
  <c r="A1306" i="13"/>
  <c r="AX1545" i="13"/>
  <c r="A1644" i="13"/>
  <c r="AX1644" i="13" s="1"/>
  <c r="AX1278" i="13"/>
  <c r="A1377" i="13"/>
  <c r="AX1273" i="13"/>
  <c r="A1372" i="13"/>
  <c r="AX1263" i="13"/>
  <c r="A1362" i="13"/>
  <c r="A1373" i="13"/>
  <c r="AX1274" i="13"/>
  <c r="A1375" i="13"/>
  <c r="AX1276" i="13"/>
  <c r="AX1197" i="13"/>
  <c r="A1296" i="13"/>
  <c r="T94" i="4"/>
  <c r="S94" i="4"/>
  <c r="Z1680" i="13"/>
  <c r="A1371" i="13"/>
  <c r="AX1272" i="13"/>
  <c r="AX1251" i="13"/>
  <c r="A1350" i="13"/>
  <c r="AX1259" i="13"/>
  <c r="A1358" i="13"/>
  <c r="AX1216" i="13"/>
  <c r="A1315" i="13"/>
  <c r="AX1222" i="13"/>
  <c r="A1321" i="13"/>
  <c r="AX1269" i="13"/>
  <c r="A1368" i="13"/>
  <c r="A1332" i="13"/>
  <c r="AX1233" i="13"/>
  <c r="AX1206" i="13"/>
  <c r="A1305" i="13"/>
  <c r="A1339" i="13"/>
  <c r="AX1240" i="13"/>
  <c r="AX1227" i="13"/>
  <c r="A1326" i="13"/>
  <c r="A1302" i="13"/>
  <c r="AX1203" i="13"/>
  <c r="AX1199" i="13"/>
  <c r="A1298" i="13"/>
  <c r="AX1581" i="13"/>
  <c r="A1680" i="13"/>
  <c r="AX1680" i="13" s="1"/>
  <c r="AX1256" i="13"/>
  <c r="A1355" i="13"/>
  <c r="AX1217" i="13"/>
  <c r="A1316" i="13"/>
  <c r="A1369" i="13"/>
  <c r="AX1270" i="13"/>
  <c r="AX1234" i="13"/>
  <c r="A1333" i="13"/>
  <c r="AX1205" i="13"/>
  <c r="A1304" i="13"/>
  <c r="AX1112" i="13"/>
  <c r="A1211" i="13"/>
  <c r="A1327" i="13"/>
  <c r="AX1228" i="13"/>
  <c r="AX1258" i="13"/>
  <c r="A1357" i="13"/>
  <c r="A1309" i="13"/>
  <c r="AX1210" i="13"/>
  <c r="AX1268" i="13"/>
  <c r="A1367" i="13"/>
  <c r="AX1218" i="13"/>
  <c r="A1317" i="13"/>
  <c r="AX1283" i="13"/>
  <c r="A1382" i="13"/>
  <c r="A1348" i="13"/>
  <c r="AX1249" i="13"/>
  <c r="A1346" i="13"/>
  <c r="AX1247" i="13"/>
  <c r="A1297" i="13"/>
  <c r="AX1198" i="13"/>
  <c r="A1345" i="13"/>
  <c r="AX1246" i="13"/>
  <c r="A1299" i="13"/>
  <c r="AX1200" i="13"/>
  <c r="A1351" i="13"/>
  <c r="AX1252" i="13"/>
  <c r="A1314" i="13"/>
  <c r="AX1215" i="13"/>
  <c r="A1370" i="13"/>
  <c r="AX1271" i="13"/>
  <c r="A1336" i="13"/>
  <c r="AX1237" i="13"/>
  <c r="A1352" i="13"/>
  <c r="AX1253" i="13"/>
  <c r="A1320" i="13"/>
  <c r="AX1221" i="13"/>
  <c r="AX1242" i="13"/>
  <c r="A1341" i="13"/>
  <c r="AX1195" i="13"/>
  <c r="A1294" i="13"/>
  <c r="AX1275" i="13"/>
  <c r="A1374" i="13"/>
  <c r="AX1238" i="13"/>
  <c r="A1337" i="13"/>
  <c r="AX1241" i="13"/>
  <c r="A1340" i="13"/>
  <c r="AX1279" i="13"/>
  <c r="A1378" i="13"/>
  <c r="Z1644" i="13"/>
  <c r="T58" i="4"/>
  <c r="S58" i="4"/>
  <c r="A1328" i="13"/>
  <c r="AX1229" i="13"/>
  <c r="A1381" i="13"/>
  <c r="AX1282" i="13"/>
  <c r="AX1213" i="13"/>
  <c r="A1312" i="13"/>
  <c r="AX1243" i="13"/>
  <c r="A1342" i="13"/>
  <c r="A1376" i="13"/>
  <c r="AX1277" i="13"/>
  <c r="AX1212" i="13"/>
  <c r="A1311" i="13"/>
  <c r="A1146" i="13"/>
  <c r="AX1047" i="13"/>
  <c r="AX1202" i="13"/>
  <c r="A1301" i="13"/>
  <c r="AX1204" i="13"/>
  <c r="A1303" i="13"/>
  <c r="A1319" i="13"/>
  <c r="AX1220" i="13"/>
  <c r="A1329" i="13"/>
  <c r="AX1230" i="13"/>
  <c r="A1379" i="13"/>
  <c r="AX1280" i="13"/>
  <c r="AX1223" i="13"/>
  <c r="A1322" i="13"/>
  <c r="AX1239" i="13"/>
  <c r="A1338" i="13"/>
  <c r="AX1337" i="13" l="1"/>
  <c r="A1436" i="13"/>
  <c r="AX1335" i="13"/>
  <c r="A1434" i="13"/>
  <c r="A1400" i="13"/>
  <c r="AX1301" i="13"/>
  <c r="AX1369" i="13"/>
  <c r="A1468" i="13"/>
  <c r="AX1303" i="13"/>
  <c r="A1402" i="13"/>
  <c r="AX1345" i="13"/>
  <c r="A1444" i="13"/>
  <c r="AX1307" i="13"/>
  <c r="A1406" i="13"/>
  <c r="A1408" i="13"/>
  <c r="AX1309" i="13"/>
  <c r="AX1364" i="13"/>
  <c r="A1463" i="13"/>
  <c r="A1480" i="13"/>
  <c r="AX1381" i="13"/>
  <c r="AX1374" i="13"/>
  <c r="A1473" i="13"/>
  <c r="A1456" i="13"/>
  <c r="AX1357" i="13"/>
  <c r="AX1316" i="13"/>
  <c r="A1415" i="13"/>
  <c r="AX1358" i="13"/>
  <c r="A1457" i="13"/>
  <c r="AX1375" i="13"/>
  <c r="A1474" i="13"/>
  <c r="A1452" i="13"/>
  <c r="AX1353" i="13"/>
  <c r="AX1295" i="13"/>
  <c r="A1394" i="13"/>
  <c r="AX1354" i="13"/>
  <c r="A1453" i="13"/>
  <c r="AX1320" i="13"/>
  <c r="A1419" i="13"/>
  <c r="A1432" i="13"/>
  <c r="AX1333" i="13"/>
  <c r="A1414" i="13"/>
  <c r="AX1315" i="13"/>
  <c r="A1417" i="13"/>
  <c r="AX1318" i="13"/>
  <c r="AX1338" i="13"/>
  <c r="A1437" i="13"/>
  <c r="AX1297" i="13"/>
  <c r="A1396" i="13"/>
  <c r="AX1322" i="13"/>
  <c r="A1421" i="13"/>
  <c r="AX1370" i="13"/>
  <c r="A1469" i="13"/>
  <c r="A1445" i="13"/>
  <c r="AX1346" i="13"/>
  <c r="AX1339" i="13"/>
  <c r="A1438" i="13"/>
  <c r="AX1313" i="13"/>
  <c r="A1412" i="13"/>
  <c r="AX1366" i="13"/>
  <c r="A1465" i="13"/>
  <c r="AX1325" i="13"/>
  <c r="A1424" i="13"/>
  <c r="AX1326" i="13"/>
  <c r="A1425" i="13"/>
  <c r="AX1308" i="13"/>
  <c r="A1407" i="13"/>
  <c r="A1245" i="13"/>
  <c r="AX1146" i="13"/>
  <c r="A1427" i="13"/>
  <c r="AX1328" i="13"/>
  <c r="AX1294" i="13"/>
  <c r="A1393" i="13"/>
  <c r="AX1355" i="13"/>
  <c r="A1454" i="13"/>
  <c r="A1404" i="13"/>
  <c r="AX1305" i="13"/>
  <c r="AX1350" i="13"/>
  <c r="A1449" i="13"/>
  <c r="A1472" i="13"/>
  <c r="AX1373" i="13"/>
  <c r="A1464" i="13"/>
  <c r="AX1365" i="13"/>
  <c r="A1460" i="13"/>
  <c r="AX1361" i="13"/>
  <c r="A1399" i="13"/>
  <c r="AX1300" i="13"/>
  <c r="A1433" i="13"/>
  <c r="AX1334" i="13"/>
  <c r="AX1342" i="13"/>
  <c r="A1441" i="13"/>
  <c r="A1413" i="13"/>
  <c r="AX1314" i="13"/>
  <c r="A1447" i="13"/>
  <c r="AX1348" i="13"/>
  <c r="A1426" i="13"/>
  <c r="AX1327" i="13"/>
  <c r="AX1362" i="13"/>
  <c r="A1461" i="13"/>
  <c r="AX1250" i="13"/>
  <c r="A1349" i="13"/>
  <c r="AX1343" i="13"/>
  <c r="A1442" i="13"/>
  <c r="AX1319" i="13"/>
  <c r="A1418" i="13"/>
  <c r="A1466" i="13"/>
  <c r="AX1367" i="13"/>
  <c r="A1455" i="13"/>
  <c r="AX1356" i="13"/>
  <c r="AX1352" i="13"/>
  <c r="A1451" i="13"/>
  <c r="A1395" i="13"/>
  <c r="AX1296" i="13"/>
  <c r="A1435" i="13"/>
  <c r="AX1336" i="13"/>
  <c r="AX1341" i="13"/>
  <c r="A1440" i="13"/>
  <c r="AX1382" i="13"/>
  <c r="A1481" i="13"/>
  <c r="A1310" i="13"/>
  <c r="AX1211" i="13"/>
  <c r="A1423" i="13"/>
  <c r="AX1324" i="13"/>
  <c r="A1391" i="13"/>
  <c r="AX1292" i="13"/>
  <c r="A1479" i="13"/>
  <c r="AX1380" i="13"/>
  <c r="AX1331" i="13"/>
  <c r="A1430" i="13"/>
  <c r="AX1340" i="13"/>
  <c r="A1439" i="13"/>
  <c r="A1420" i="13"/>
  <c r="AX1321" i="13"/>
  <c r="A1405" i="13"/>
  <c r="AX1306" i="13"/>
  <c r="A1478" i="13"/>
  <c r="AX1379" i="13"/>
  <c r="A1450" i="13"/>
  <c r="AX1351" i="13"/>
  <c r="A1431" i="13"/>
  <c r="AX1332" i="13"/>
  <c r="AX1371" i="13"/>
  <c r="A1470" i="13"/>
  <c r="A1471" i="13"/>
  <c r="AX1372" i="13"/>
  <c r="AX1363" i="13"/>
  <c r="A1462" i="13"/>
  <c r="A1459" i="13"/>
  <c r="AX1360" i="13"/>
  <c r="A1458" i="13"/>
  <c r="AX1359" i="13"/>
  <c r="A1398" i="13"/>
  <c r="AX1299" i="13"/>
  <c r="AX1377" i="13"/>
  <c r="A1476" i="13"/>
  <c r="A1411" i="13"/>
  <c r="AX1312" i="13"/>
  <c r="AX1302" i="13"/>
  <c r="A1401" i="13"/>
  <c r="A1410" i="13"/>
  <c r="AX1311" i="13"/>
  <c r="AX1329" i="13"/>
  <c r="A1428" i="13"/>
  <c r="A1475" i="13"/>
  <c r="AX1376" i="13"/>
  <c r="A1477" i="13"/>
  <c r="AX1378" i="13"/>
  <c r="AX1317" i="13"/>
  <c r="A1416" i="13"/>
  <c r="AX1304" i="13"/>
  <c r="A1403" i="13"/>
  <c r="AX1298" i="13"/>
  <c r="A1397" i="13"/>
  <c r="A1467" i="13"/>
  <c r="AX1368" i="13"/>
  <c r="AX1323" i="13"/>
  <c r="A1422" i="13"/>
  <c r="A1429" i="13"/>
  <c r="AX1330" i="13"/>
  <c r="A1552" i="13" l="1"/>
  <c r="AV1553" i="13"/>
  <c r="AV1651" i="13" s="1"/>
  <c r="Z1552" i="13"/>
  <c r="AX1453" i="13"/>
  <c r="AV1453" i="13"/>
  <c r="AV1444" i="13"/>
  <c r="AX1444" i="13"/>
  <c r="AV1544" i="13"/>
  <c r="AV1642" i="13" s="1"/>
  <c r="A1543" i="13"/>
  <c r="Z1543" i="13"/>
  <c r="AV1411" i="13"/>
  <c r="Z1510" i="13"/>
  <c r="A1510" i="13"/>
  <c r="AX1411" i="13"/>
  <c r="AV1511" i="13"/>
  <c r="AV1609" i="13" s="1"/>
  <c r="AV1571" i="13"/>
  <c r="AV1669" i="13" s="1"/>
  <c r="A1570" i="13"/>
  <c r="AV1471" i="13"/>
  <c r="Z1570" i="13"/>
  <c r="AX1471" i="13"/>
  <c r="A1519" i="13"/>
  <c r="AV1520" i="13"/>
  <c r="AV1618" i="13" s="1"/>
  <c r="Z1519" i="13"/>
  <c r="AV1420" i="13"/>
  <c r="AX1420" i="13"/>
  <c r="AX1310" i="13"/>
  <c r="A1409" i="13"/>
  <c r="AV1555" i="13"/>
  <c r="AV1653" i="13" s="1"/>
  <c r="AX1455" i="13"/>
  <c r="A1554" i="13"/>
  <c r="Z1554" i="13"/>
  <c r="AV1455" i="13"/>
  <c r="Z1525" i="13"/>
  <c r="AV1526" i="13"/>
  <c r="AV1624" i="13" s="1"/>
  <c r="AV1426" i="13"/>
  <c r="A1525" i="13"/>
  <c r="AX1426" i="13"/>
  <c r="AV1560" i="13"/>
  <c r="AV1658" i="13" s="1"/>
  <c r="Z1559" i="13"/>
  <c r="AX1460" i="13"/>
  <c r="A1559" i="13"/>
  <c r="AV1460" i="13"/>
  <c r="A1555" i="13"/>
  <c r="Z1555" i="13"/>
  <c r="AV1456" i="13"/>
  <c r="AV1556" i="13"/>
  <c r="AV1654" i="13" s="1"/>
  <c r="AX1456" i="13"/>
  <c r="AX1481" i="13"/>
  <c r="Z1580" i="13"/>
  <c r="AV1481" i="13"/>
  <c r="A1580" i="13"/>
  <c r="AV1581" i="13"/>
  <c r="AV1679" i="13" s="1"/>
  <c r="A1576" i="13"/>
  <c r="Z1576" i="13"/>
  <c r="AX1477" i="13"/>
  <c r="AV1477" i="13"/>
  <c r="AV1577" i="13"/>
  <c r="AV1675" i="13" s="1"/>
  <c r="AV1518" i="13"/>
  <c r="AV1616" i="13" s="1"/>
  <c r="A1517" i="13"/>
  <c r="Z1517" i="13"/>
  <c r="AV1418" i="13"/>
  <c r="AX1418" i="13"/>
  <c r="AV1531" i="13"/>
  <c r="AV1629" i="13" s="1"/>
  <c r="AV1431" i="13"/>
  <c r="A1530" i="13"/>
  <c r="Z1530" i="13"/>
  <c r="AX1431" i="13"/>
  <c r="AV1413" i="13"/>
  <c r="AX1413" i="13"/>
  <c r="AV1513" i="13"/>
  <c r="AV1611" i="13" s="1"/>
  <c r="A1512" i="13"/>
  <c r="Z1512" i="13"/>
  <c r="AX1472" i="13"/>
  <c r="A1571" i="13"/>
  <c r="AV1572" i="13"/>
  <c r="AV1670" i="13" s="1"/>
  <c r="AV1472" i="13"/>
  <c r="Z1571" i="13"/>
  <c r="AX1245" i="13"/>
  <c r="A1344" i="13"/>
  <c r="AV1517" i="13"/>
  <c r="AV1615" i="13" s="1"/>
  <c r="Z1516" i="13"/>
  <c r="AV1417" i="13"/>
  <c r="AX1417" i="13"/>
  <c r="A1516" i="13"/>
  <c r="AV1452" i="13"/>
  <c r="A1551" i="13"/>
  <c r="AV1552" i="13"/>
  <c r="AV1650" i="13" s="1"/>
  <c r="AX1452" i="13"/>
  <c r="Z1551" i="13"/>
  <c r="Z1579" i="13"/>
  <c r="AX1480" i="13"/>
  <c r="AV1480" i="13"/>
  <c r="AV1580" i="13"/>
  <c r="AV1678" i="13" s="1"/>
  <c r="A1579" i="13"/>
  <c r="AX1412" i="13"/>
  <c r="A1511" i="13"/>
  <c r="Z1511" i="13"/>
  <c r="AV1412" i="13"/>
  <c r="AV1512" i="13"/>
  <c r="AV1610" i="13" s="1"/>
  <c r="A1521" i="13"/>
  <c r="AV1522" i="13"/>
  <c r="AV1620" i="13" s="1"/>
  <c r="AX1422" i="13"/>
  <c r="AV1422" i="13"/>
  <c r="Z1521" i="13"/>
  <c r="Z1539" i="13"/>
  <c r="AV1440" i="13"/>
  <c r="AV1540" i="13"/>
  <c r="AV1638" i="13" s="1"/>
  <c r="AX1440" i="13"/>
  <c r="A1539" i="13"/>
  <c r="A1537" i="13"/>
  <c r="AX1438" i="13"/>
  <c r="AV1538" i="13"/>
  <c r="AV1636" i="13" s="1"/>
  <c r="Z1537" i="13"/>
  <c r="AV1438" i="13"/>
  <c r="AX1442" i="13"/>
  <c r="AV1442" i="13"/>
  <c r="A1541" i="13"/>
  <c r="Z1541" i="13"/>
  <c r="AV1542" i="13"/>
  <c r="AV1640" i="13" s="1"/>
  <c r="AX1441" i="13"/>
  <c r="A1540" i="13"/>
  <c r="Z1540" i="13"/>
  <c r="AV1541" i="13"/>
  <c r="AV1639" i="13" s="1"/>
  <c r="AV1441" i="13"/>
  <c r="AV1549" i="13"/>
  <c r="AV1647" i="13" s="1"/>
  <c r="A1548" i="13"/>
  <c r="AX1449" i="13"/>
  <c r="Z1548" i="13"/>
  <c r="AV1449" i="13"/>
  <c r="A1506" i="13"/>
  <c r="AV1407" i="13"/>
  <c r="AV1507" i="13"/>
  <c r="AV1605" i="13" s="1"/>
  <c r="AX1407" i="13"/>
  <c r="Z1506" i="13"/>
  <c r="AV1474" i="13"/>
  <c r="AV1574" i="13"/>
  <c r="AV1672" i="13" s="1"/>
  <c r="AX1474" i="13"/>
  <c r="Z1573" i="13"/>
  <c r="A1573" i="13"/>
  <c r="A1562" i="13"/>
  <c r="AX1463" i="13"/>
  <c r="AV1563" i="13"/>
  <c r="AV1661" i="13" s="1"/>
  <c r="Z1562" i="13"/>
  <c r="AV1463" i="13"/>
  <c r="AV1416" i="13"/>
  <c r="Z1515" i="13"/>
  <c r="AV1516" i="13"/>
  <c r="AV1614" i="13" s="1"/>
  <c r="AX1416" i="13"/>
  <c r="A1515" i="13"/>
  <c r="A1578" i="13"/>
  <c r="AV1479" i="13"/>
  <c r="Z1578" i="13"/>
  <c r="AX1479" i="13"/>
  <c r="AV1579" i="13"/>
  <c r="AV1677" i="13" s="1"/>
  <c r="AV1445" i="13"/>
  <c r="AX1445" i="13"/>
  <c r="A1544" i="13"/>
  <c r="AV1545" i="13"/>
  <c r="AV1643" i="13" s="1"/>
  <c r="Z1544" i="13"/>
  <c r="Z1513" i="13"/>
  <c r="AV1414" i="13"/>
  <c r="AX1414" i="13"/>
  <c r="A1513" i="13"/>
  <c r="AV1514" i="13"/>
  <c r="AV1612" i="13" s="1"/>
  <c r="AV1500" i="13"/>
  <c r="AV1598" i="13" s="1"/>
  <c r="AV1400" i="13"/>
  <c r="AX1400" i="13"/>
  <c r="A1499" i="13"/>
  <c r="Z1499" i="13"/>
  <c r="A1495" i="13"/>
  <c r="AX1396" i="13"/>
  <c r="AV1396" i="13"/>
  <c r="Z1495" i="13"/>
  <c r="AV1496" i="13"/>
  <c r="AV1594" i="13" s="1"/>
  <c r="A1538" i="13"/>
  <c r="AV1539" i="13"/>
  <c r="AV1637" i="13" s="1"/>
  <c r="Z1538" i="13"/>
  <c r="AX1439" i="13"/>
  <c r="AV1439" i="13"/>
  <c r="AX1429" i="13"/>
  <c r="Z1528" i="13"/>
  <c r="AV1529" i="13"/>
  <c r="AV1627" i="13" s="1"/>
  <c r="A1528" i="13"/>
  <c r="AV1429" i="13"/>
  <c r="AX1469" i="13"/>
  <c r="Z1568" i="13"/>
  <c r="AV1569" i="13"/>
  <c r="AV1667" i="13" s="1"/>
  <c r="AV1469" i="13"/>
  <c r="A1568" i="13"/>
  <c r="AX1457" i="13"/>
  <c r="AV1457" i="13"/>
  <c r="AV1557" i="13"/>
  <c r="AV1655" i="13" s="1"/>
  <c r="A1556" i="13"/>
  <c r="Z1556" i="13"/>
  <c r="AV1434" i="13"/>
  <c r="Z1533" i="13"/>
  <c r="A1533" i="13"/>
  <c r="AV1534" i="13"/>
  <c r="AV1632" i="13" s="1"/>
  <c r="AX1434" i="13"/>
  <c r="Z1492" i="13"/>
  <c r="A1492" i="13"/>
  <c r="AV1393" i="13"/>
  <c r="AX1393" i="13"/>
  <c r="AV1493" i="13"/>
  <c r="AV1591" i="13" s="1"/>
  <c r="AV1473" i="13"/>
  <c r="A1572" i="13"/>
  <c r="Z1572" i="13"/>
  <c r="AV1573" i="13"/>
  <c r="AV1671" i="13" s="1"/>
  <c r="AX1473" i="13"/>
  <c r="AV1464" i="13"/>
  <c r="AV1564" i="13"/>
  <c r="AV1662" i="13" s="1"/>
  <c r="A1563" i="13"/>
  <c r="Z1563" i="13"/>
  <c r="AX1464" i="13"/>
  <c r="AV1430" i="13"/>
  <c r="A1529" i="13"/>
  <c r="AV1530" i="13"/>
  <c r="AV1628" i="13" s="1"/>
  <c r="Z1529" i="13"/>
  <c r="AX1430" i="13"/>
  <c r="A1497" i="13"/>
  <c r="AX1398" i="13"/>
  <c r="AV1498" i="13"/>
  <c r="AV1596" i="13" s="1"/>
  <c r="Z1497" i="13"/>
  <c r="AV1398" i="13"/>
  <c r="AV1435" i="13"/>
  <c r="AX1435" i="13"/>
  <c r="A1534" i="13"/>
  <c r="Z1534" i="13"/>
  <c r="AV1535" i="13"/>
  <c r="AV1633" i="13" s="1"/>
  <c r="Z1490" i="13"/>
  <c r="AV1491" i="13"/>
  <c r="AV1589" i="13" s="1"/>
  <c r="AV1391" i="13"/>
  <c r="AX1391" i="13"/>
  <c r="A1490" i="13"/>
  <c r="AV1532" i="13"/>
  <c r="AV1630" i="13" s="1"/>
  <c r="A1531" i="13"/>
  <c r="AV1432" i="13"/>
  <c r="Z1531" i="13"/>
  <c r="AX1432" i="13"/>
  <c r="AV1408" i="13"/>
  <c r="A1507" i="13"/>
  <c r="Z1507" i="13"/>
  <c r="AV1508" i="13"/>
  <c r="AV1606" i="13" s="1"/>
  <c r="AX1408" i="13"/>
  <c r="AV1565" i="13"/>
  <c r="AV1663" i="13" s="1"/>
  <c r="AX1465" i="13"/>
  <c r="Z1564" i="13"/>
  <c r="AV1465" i="13"/>
  <c r="A1564" i="13"/>
  <c r="AV1470" i="13"/>
  <c r="Z1569" i="13"/>
  <c r="A1569" i="13"/>
  <c r="AX1470" i="13"/>
  <c r="AV1570" i="13"/>
  <c r="AV1668" i="13" s="1"/>
  <c r="AV1437" i="13"/>
  <c r="AX1437" i="13"/>
  <c r="A1536" i="13"/>
  <c r="Z1536" i="13"/>
  <c r="AV1537" i="13"/>
  <c r="AV1635" i="13" s="1"/>
  <c r="AX1394" i="13"/>
  <c r="Z1493" i="13"/>
  <c r="A1493" i="13"/>
  <c r="AV1394" i="13"/>
  <c r="AV1494" i="13"/>
  <c r="AV1592" i="13" s="1"/>
  <c r="Z1565" i="13"/>
  <c r="A1565" i="13"/>
  <c r="AV1466" i="13"/>
  <c r="AV1566" i="13"/>
  <c r="AV1664" i="13" s="1"/>
  <c r="AX1466" i="13"/>
  <c r="Z1526" i="13"/>
  <c r="AV1427" i="13"/>
  <c r="AX1427" i="13"/>
  <c r="AV1527" i="13"/>
  <c r="AV1625" i="13" s="1"/>
  <c r="A1526" i="13"/>
  <c r="AX1475" i="13"/>
  <c r="AV1575" i="13"/>
  <c r="AV1673" i="13" s="1"/>
  <c r="A1574" i="13"/>
  <c r="AV1475" i="13"/>
  <c r="Z1574" i="13"/>
  <c r="AV1567" i="13"/>
  <c r="AV1665" i="13" s="1"/>
  <c r="A1566" i="13"/>
  <c r="Z1566" i="13"/>
  <c r="AX1467" i="13"/>
  <c r="AV1467" i="13"/>
  <c r="AV1550" i="13"/>
  <c r="AV1648" i="13" s="1"/>
  <c r="AX1450" i="13"/>
  <c r="A1549" i="13"/>
  <c r="AV1450" i="13"/>
  <c r="Z1549" i="13"/>
  <c r="A1496" i="13"/>
  <c r="AV1397" i="13"/>
  <c r="Z1496" i="13"/>
  <c r="AX1397" i="13"/>
  <c r="AV1497" i="13"/>
  <c r="AV1595" i="13" s="1"/>
  <c r="AX1349" i="13"/>
  <c r="A1448" i="13"/>
  <c r="Z1524" i="13"/>
  <c r="AV1425" i="13"/>
  <c r="A1524" i="13"/>
  <c r="AV1525" i="13"/>
  <c r="AV1623" i="13" s="1"/>
  <c r="AX1425" i="13"/>
  <c r="AX1410" i="13"/>
  <c r="AV1410" i="13"/>
  <c r="A1509" i="13"/>
  <c r="Z1509" i="13"/>
  <c r="AV1510" i="13"/>
  <c r="AV1608" i="13" s="1"/>
  <c r="AV1478" i="13"/>
  <c r="AV1578" i="13"/>
  <c r="AV1676" i="13" s="1"/>
  <c r="AX1478" i="13"/>
  <c r="A1577" i="13"/>
  <c r="Z1577" i="13"/>
  <c r="AX1433" i="13"/>
  <c r="A1532" i="13"/>
  <c r="Z1532" i="13"/>
  <c r="AV1533" i="13"/>
  <c r="AV1631" i="13" s="1"/>
  <c r="AV1433" i="13"/>
  <c r="AV1462" i="13"/>
  <c r="AV1562" i="13"/>
  <c r="AV1660" i="13" s="1"/>
  <c r="AX1462" i="13"/>
  <c r="A1561" i="13"/>
  <c r="Z1561" i="13"/>
  <c r="AV1451" i="13"/>
  <c r="AV1551" i="13"/>
  <c r="AV1649" i="13" s="1"/>
  <c r="Z1550" i="13"/>
  <c r="AX1451" i="13"/>
  <c r="A1550" i="13"/>
  <c r="AV1561" i="13"/>
  <c r="AV1659" i="13" s="1"/>
  <c r="AX1461" i="13"/>
  <c r="AV1461" i="13"/>
  <c r="Z1560" i="13"/>
  <c r="A1560" i="13"/>
  <c r="AV1554" i="13"/>
  <c r="AV1652" i="13" s="1"/>
  <c r="AV1454" i="13"/>
  <c r="Z1553" i="13"/>
  <c r="AX1454" i="13"/>
  <c r="A1553" i="13"/>
  <c r="Z1523" i="13"/>
  <c r="A1523" i="13"/>
  <c r="AV1424" i="13"/>
  <c r="AV1524" i="13"/>
  <c r="AV1622" i="13" s="1"/>
  <c r="AX1424" i="13"/>
  <c r="AV1521" i="13"/>
  <c r="AV1619" i="13" s="1"/>
  <c r="AV1421" i="13"/>
  <c r="A1520" i="13"/>
  <c r="AX1421" i="13"/>
  <c r="Z1520" i="13"/>
  <c r="AV1519" i="13"/>
  <c r="AV1617" i="13" s="1"/>
  <c r="AX1419" i="13"/>
  <c r="Z1518" i="13"/>
  <c r="A1518" i="13"/>
  <c r="AV1419" i="13"/>
  <c r="AV1415" i="13"/>
  <c r="AV1515" i="13"/>
  <c r="AV1613" i="13" s="1"/>
  <c r="AX1415" i="13"/>
  <c r="Z1514" i="13"/>
  <c r="A1514" i="13"/>
  <c r="Z1505" i="13"/>
  <c r="AV1406" i="13"/>
  <c r="AX1406" i="13"/>
  <c r="A1505" i="13"/>
  <c r="AV1506" i="13"/>
  <c r="AV1604" i="13" s="1"/>
  <c r="AX1436" i="13"/>
  <c r="Z1535" i="13"/>
  <c r="AV1536" i="13"/>
  <c r="AV1634" i="13" s="1"/>
  <c r="A1535" i="13"/>
  <c r="AV1436" i="13"/>
  <c r="Z1575" i="13"/>
  <c r="AV1576" i="13"/>
  <c r="AV1674" i="13" s="1"/>
  <c r="AX1476" i="13"/>
  <c r="A1575" i="13"/>
  <c r="AV1476" i="13"/>
  <c r="Z1501" i="13"/>
  <c r="AX1402" i="13"/>
  <c r="AV1502" i="13"/>
  <c r="AV1600" i="13" s="1"/>
  <c r="AV1402" i="13"/>
  <c r="A1501" i="13"/>
  <c r="AV1447" i="13"/>
  <c r="Z1546" i="13"/>
  <c r="A1546" i="13"/>
  <c r="AV1547" i="13"/>
  <c r="AV1645" i="13" s="1"/>
  <c r="AX1447" i="13"/>
  <c r="AV1568" i="13"/>
  <c r="AV1666" i="13" s="1"/>
  <c r="Z1567" i="13"/>
  <c r="A1567" i="13"/>
  <c r="AX1468" i="13"/>
  <c r="AV1468" i="13"/>
  <c r="Z1527" i="13"/>
  <c r="AV1528" i="13"/>
  <c r="AV1626" i="13" s="1"/>
  <c r="AX1428" i="13"/>
  <c r="AV1428" i="13"/>
  <c r="A1527" i="13"/>
  <c r="AX1458" i="13"/>
  <c r="Z1557" i="13"/>
  <c r="A1557" i="13"/>
  <c r="AV1558" i="13"/>
  <c r="AV1656" i="13" s="1"/>
  <c r="AV1458" i="13"/>
  <c r="AX1459" i="13"/>
  <c r="AV1459" i="13"/>
  <c r="AV1559" i="13"/>
  <c r="AV1657" i="13" s="1"/>
  <c r="Z1558" i="13"/>
  <c r="A1558" i="13"/>
  <c r="AV1495" i="13"/>
  <c r="AV1593" i="13" s="1"/>
  <c r="Z1494" i="13"/>
  <c r="A1494" i="13"/>
  <c r="AV1395" i="13"/>
  <c r="AX1395" i="13"/>
  <c r="A1503" i="13"/>
  <c r="AV1504" i="13"/>
  <c r="AV1602" i="13" s="1"/>
  <c r="AV1404" i="13"/>
  <c r="AX1404" i="13"/>
  <c r="Z1503" i="13"/>
  <c r="AV1503" i="13"/>
  <c r="AV1601" i="13" s="1"/>
  <c r="A1502" i="13"/>
  <c r="Z1502" i="13"/>
  <c r="AV1403" i="13"/>
  <c r="AX1403" i="13"/>
  <c r="A1500" i="13"/>
  <c r="Z1500" i="13"/>
  <c r="AX1401" i="13"/>
  <c r="AV1501" i="13"/>
  <c r="AV1599" i="13" s="1"/>
  <c r="AV1401" i="13"/>
  <c r="AX1405" i="13"/>
  <c r="A1504" i="13"/>
  <c r="AV1505" i="13"/>
  <c r="AV1603" i="13" s="1"/>
  <c r="AV1405" i="13"/>
  <c r="Z1504" i="13"/>
  <c r="AX1423" i="13"/>
  <c r="AV1523" i="13"/>
  <c r="AV1621" i="13" s="1"/>
  <c r="A1522" i="13"/>
  <c r="AV1423" i="13"/>
  <c r="Z1522" i="13"/>
  <c r="Z1498" i="13"/>
  <c r="AV1399" i="13"/>
  <c r="AX1399" i="13"/>
  <c r="A1498" i="13"/>
  <c r="AV1499" i="13"/>
  <c r="AV1597" i="13" s="1"/>
  <c r="A1652" i="13" l="1"/>
  <c r="AX1652" i="13" s="1"/>
  <c r="AX1553" i="13"/>
  <c r="Z1633" i="13"/>
  <c r="S47" i="4"/>
  <c r="T47" i="4"/>
  <c r="AX1529" i="13"/>
  <c r="A1628" i="13"/>
  <c r="AX1628" i="13" s="1"/>
  <c r="A1598" i="13"/>
  <c r="AX1598" i="13" s="1"/>
  <c r="AX1499" i="13"/>
  <c r="A1610" i="13"/>
  <c r="AX1610" i="13" s="1"/>
  <c r="AX1511" i="13"/>
  <c r="AX1516" i="13"/>
  <c r="A1615" i="13"/>
  <c r="AX1615" i="13" s="1"/>
  <c r="S25" i="4"/>
  <c r="T25" i="4"/>
  <c r="Z1611" i="13"/>
  <c r="Z1616" i="13"/>
  <c r="T30" i="4"/>
  <c r="S30" i="4"/>
  <c r="A1624" i="13"/>
  <c r="AX1624" i="13" s="1"/>
  <c r="AX1525" i="13"/>
  <c r="T23" i="4"/>
  <c r="S23" i="4"/>
  <c r="Z1609" i="13"/>
  <c r="S75" i="4"/>
  <c r="T75" i="4"/>
  <c r="Z1661" i="13"/>
  <c r="AX1512" i="13"/>
  <c r="A1611" i="13"/>
  <c r="AX1611" i="13" s="1"/>
  <c r="AX1517" i="13"/>
  <c r="A1616" i="13"/>
  <c r="AX1616" i="13" s="1"/>
  <c r="S32" i="4"/>
  <c r="Z1618" i="13"/>
  <c r="T32" i="4"/>
  <c r="T56" i="4"/>
  <c r="Z1642" i="13"/>
  <c r="S56" i="4"/>
  <c r="T38" i="4"/>
  <c r="S38" i="4"/>
  <c r="Z1624" i="13"/>
  <c r="A1618" i="13"/>
  <c r="AX1618" i="13" s="1"/>
  <c r="AX1519" i="13"/>
  <c r="AX1543" i="13"/>
  <c r="A1642" i="13"/>
  <c r="AX1642" i="13" s="1"/>
  <c r="AX1500" i="13"/>
  <c r="A1599" i="13"/>
  <c r="AX1599" i="13" s="1"/>
  <c r="S37" i="4"/>
  <c r="Z1623" i="13"/>
  <c r="T37" i="4"/>
  <c r="A1613" i="13"/>
  <c r="AX1613" i="13" s="1"/>
  <c r="AX1514" i="13"/>
  <c r="AX1531" i="13"/>
  <c r="A1630" i="13"/>
  <c r="AX1630" i="13" s="1"/>
  <c r="AX1563" i="13"/>
  <c r="A1662" i="13"/>
  <c r="AX1662" i="13" s="1"/>
  <c r="Z1591" i="13"/>
  <c r="S5" i="4"/>
  <c r="T5" i="4"/>
  <c r="Z1677" i="13"/>
  <c r="S91" i="4"/>
  <c r="T91" i="4"/>
  <c r="Z1647" i="13"/>
  <c r="S61" i="4"/>
  <c r="T61" i="4"/>
  <c r="S34" i="4"/>
  <c r="T34" i="4"/>
  <c r="Z1620" i="13"/>
  <c r="S68" i="4"/>
  <c r="T68" i="4"/>
  <c r="Z1654" i="13"/>
  <c r="AX1549" i="13"/>
  <c r="A1648" i="13"/>
  <c r="AX1648" i="13" s="1"/>
  <c r="AX1579" i="13"/>
  <c r="A1678" i="13"/>
  <c r="AX1678" i="13" s="1"/>
  <c r="S70" i="4"/>
  <c r="T70" i="4"/>
  <c r="Z1656" i="13"/>
  <c r="Z1604" i="13"/>
  <c r="T18" i="4"/>
  <c r="S18" i="4"/>
  <c r="AX1448" i="13"/>
  <c r="A1547" i="13"/>
  <c r="AV1548" i="13"/>
  <c r="AV1646" i="13" s="1"/>
  <c r="AV1448" i="13"/>
  <c r="Z1547" i="13"/>
  <c r="A1661" i="13"/>
  <c r="AX1661" i="13" s="1"/>
  <c r="AX1562" i="13"/>
  <c r="T7" i="4"/>
  <c r="Z1593" i="13"/>
  <c r="S7" i="4"/>
  <c r="A1626" i="13"/>
  <c r="AX1626" i="13" s="1"/>
  <c r="AX1527" i="13"/>
  <c r="AX1546" i="13"/>
  <c r="A1645" i="13"/>
  <c r="AX1645" i="13" s="1"/>
  <c r="T88" i="4"/>
  <c r="Z1674" i="13"/>
  <c r="S88" i="4"/>
  <c r="T27" i="4"/>
  <c r="S27" i="4"/>
  <c r="Z1613" i="13"/>
  <c r="A1659" i="13"/>
  <c r="AX1659" i="13" s="1"/>
  <c r="AX1560" i="13"/>
  <c r="Z1663" i="13"/>
  <c r="S77" i="4"/>
  <c r="T77" i="4"/>
  <c r="S10" i="4"/>
  <c r="Z1596" i="13"/>
  <c r="T10" i="4"/>
  <c r="AX1538" i="13"/>
  <c r="A1637" i="13"/>
  <c r="AX1637" i="13" s="1"/>
  <c r="AX1513" i="13"/>
  <c r="A1612" i="13"/>
  <c r="AX1612" i="13" s="1"/>
  <c r="A1672" i="13"/>
  <c r="AX1672" i="13" s="1"/>
  <c r="AX1573" i="13"/>
  <c r="A1443" i="13"/>
  <c r="AX1344" i="13"/>
  <c r="A1654" i="13"/>
  <c r="AX1654" i="13" s="1"/>
  <c r="AX1555" i="13"/>
  <c r="S67" i="4"/>
  <c r="Z1653" i="13"/>
  <c r="T67" i="4"/>
  <c r="Z1669" i="13"/>
  <c r="S83" i="4"/>
  <c r="T83" i="4"/>
  <c r="S14" i="4"/>
  <c r="Z1600" i="13"/>
  <c r="T14" i="4"/>
  <c r="T80" i="4"/>
  <c r="Z1666" i="13"/>
  <c r="S80" i="4"/>
  <c r="Z1592" i="13"/>
  <c r="T6" i="4"/>
  <c r="S6" i="4"/>
  <c r="Z1638" i="13"/>
  <c r="S52" i="4"/>
  <c r="T52" i="4"/>
  <c r="T73" i="4"/>
  <c r="Z1659" i="13"/>
  <c r="S73" i="4"/>
  <c r="T79" i="4"/>
  <c r="Z1665" i="13"/>
  <c r="S79" i="4"/>
  <c r="T39" i="4"/>
  <c r="S39" i="4"/>
  <c r="Z1625" i="13"/>
  <c r="Z1635" i="13"/>
  <c r="S49" i="4"/>
  <c r="T49" i="4"/>
  <c r="A1589" i="13"/>
  <c r="AX1589" i="13" s="1"/>
  <c r="AX1490" i="13"/>
  <c r="Z1667" i="13"/>
  <c r="S81" i="4"/>
  <c r="T81" i="4"/>
  <c r="A1677" i="13"/>
  <c r="AX1677" i="13" s="1"/>
  <c r="AX1578" i="13"/>
  <c r="Z1672" i="13"/>
  <c r="S86" i="4"/>
  <c r="T86" i="4"/>
  <c r="A1647" i="13"/>
  <c r="AX1647" i="13" s="1"/>
  <c r="AX1548" i="13"/>
  <c r="Z1678" i="13"/>
  <c r="S92" i="4"/>
  <c r="T92" i="4"/>
  <c r="T43" i="4"/>
  <c r="Z1629" i="13"/>
  <c r="S43" i="4"/>
  <c r="Z1675" i="13"/>
  <c r="S89" i="4"/>
  <c r="T89" i="4"/>
  <c r="A1653" i="13"/>
  <c r="AX1653" i="13" s="1"/>
  <c r="AX1554" i="13"/>
  <c r="A1666" i="13"/>
  <c r="AX1666" i="13" s="1"/>
  <c r="AX1567" i="13"/>
  <c r="AX1569" i="13"/>
  <c r="A1668" i="13"/>
  <c r="AX1668" i="13" s="1"/>
  <c r="S82" i="4"/>
  <c r="T82" i="4"/>
  <c r="Z1668" i="13"/>
  <c r="AX1534" i="13"/>
  <c r="A1633" i="13"/>
  <c r="AX1633" i="13" s="1"/>
  <c r="AX1575" i="13"/>
  <c r="A1674" i="13"/>
  <c r="AX1674" i="13" s="1"/>
  <c r="A1625" i="13"/>
  <c r="AX1625" i="13" s="1"/>
  <c r="AX1526" i="13"/>
  <c r="T76" i="4"/>
  <c r="Z1662" i="13"/>
  <c r="S76" i="4"/>
  <c r="AX1568" i="13"/>
  <c r="A1667" i="13"/>
  <c r="AX1667" i="13" s="1"/>
  <c r="A1640" i="13"/>
  <c r="AX1640" i="13" s="1"/>
  <c r="AX1541" i="13"/>
  <c r="A1601" i="13"/>
  <c r="AX1601" i="13" s="1"/>
  <c r="AX1502" i="13"/>
  <c r="AX1558" i="13"/>
  <c r="A1657" i="13"/>
  <c r="AX1657" i="13" s="1"/>
  <c r="AX1535" i="13"/>
  <c r="A1634" i="13"/>
  <c r="AX1634" i="13" s="1"/>
  <c r="T22" i="4"/>
  <c r="S22" i="4"/>
  <c r="Z1608" i="13"/>
  <c r="A1665" i="13"/>
  <c r="AX1665" i="13" s="1"/>
  <c r="AX1566" i="13"/>
  <c r="AX1536" i="13"/>
  <c r="A1635" i="13"/>
  <c r="AX1635" i="13" s="1"/>
  <c r="A1632" i="13"/>
  <c r="AX1632" i="13" s="1"/>
  <c r="AX1533" i="13"/>
  <c r="Z1594" i="13"/>
  <c r="T8" i="4"/>
  <c r="S8" i="4"/>
  <c r="AX1515" i="13"/>
  <c r="A1614" i="13"/>
  <c r="AX1614" i="13" s="1"/>
  <c r="T50" i="4"/>
  <c r="Z1636" i="13"/>
  <c r="S50" i="4"/>
  <c r="S64" i="4"/>
  <c r="T64" i="4"/>
  <c r="Z1650" i="13"/>
  <c r="T84" i="4"/>
  <c r="S84" i="4"/>
  <c r="Z1670" i="13"/>
  <c r="AX1530" i="13"/>
  <c r="A1629" i="13"/>
  <c r="AX1629" i="13" s="1"/>
  <c r="AX1576" i="13"/>
  <c r="A1675" i="13"/>
  <c r="AX1675" i="13" s="1"/>
  <c r="A1658" i="13"/>
  <c r="AX1658" i="13" s="1"/>
  <c r="AX1559" i="13"/>
  <c r="AX1570" i="13"/>
  <c r="A1669" i="13"/>
  <c r="AX1669" i="13" s="1"/>
  <c r="S63" i="4"/>
  <c r="T63" i="4"/>
  <c r="Z1649" i="13"/>
  <c r="AX1503" i="13"/>
  <c r="A1602" i="13"/>
  <c r="AX1602" i="13" s="1"/>
  <c r="A1623" i="13"/>
  <c r="AX1623" i="13" s="1"/>
  <c r="AX1524" i="13"/>
  <c r="A1663" i="13"/>
  <c r="AX1663" i="13" s="1"/>
  <c r="AX1564" i="13"/>
  <c r="AX1492" i="13"/>
  <c r="A1591" i="13"/>
  <c r="AX1591" i="13" s="1"/>
  <c r="S29" i="4"/>
  <c r="Z1615" i="13"/>
  <c r="T29" i="4"/>
  <c r="A1660" i="13"/>
  <c r="AX1660" i="13" s="1"/>
  <c r="AX1561" i="13"/>
  <c r="S15" i="4"/>
  <c r="Z1601" i="13"/>
  <c r="T15" i="4"/>
  <c r="Z1657" i="13"/>
  <c r="T71" i="4"/>
  <c r="S71" i="4"/>
  <c r="AX1497" i="13"/>
  <c r="A1596" i="13"/>
  <c r="AX1596" i="13" s="1"/>
  <c r="T46" i="4"/>
  <c r="S46" i="4"/>
  <c r="Z1632" i="13"/>
  <c r="S26" i="4"/>
  <c r="T26" i="4"/>
  <c r="Z1612" i="13"/>
  <c r="AX1521" i="13"/>
  <c r="A1620" i="13"/>
  <c r="AX1620" i="13" s="1"/>
  <c r="AX1505" i="13"/>
  <c r="A1604" i="13"/>
  <c r="AX1604" i="13" s="1"/>
  <c r="Z1652" i="13"/>
  <c r="S66" i="4"/>
  <c r="T66" i="4"/>
  <c r="AX1577" i="13"/>
  <c r="A1676" i="13"/>
  <c r="AX1676" i="13" s="1"/>
  <c r="AX1493" i="13"/>
  <c r="A1592" i="13"/>
  <c r="AX1592" i="13" s="1"/>
  <c r="S54" i="4"/>
  <c r="Z1640" i="13"/>
  <c r="T54" i="4"/>
  <c r="T59" i="4"/>
  <c r="Z1645" i="13"/>
  <c r="S59" i="4"/>
  <c r="Z1595" i="13"/>
  <c r="S9" i="4"/>
  <c r="T9" i="4"/>
  <c r="AX1504" i="13"/>
  <c r="A1603" i="13"/>
  <c r="AX1603" i="13" s="1"/>
  <c r="S40" i="4"/>
  <c r="T40" i="4"/>
  <c r="Z1626" i="13"/>
  <c r="S87" i="4"/>
  <c r="Z1673" i="13"/>
  <c r="T87" i="4"/>
  <c r="S85" i="4"/>
  <c r="T85" i="4"/>
  <c r="Z1671" i="13"/>
  <c r="A1627" i="13"/>
  <c r="AX1627" i="13" s="1"/>
  <c r="AX1528" i="13"/>
  <c r="S57" i="4"/>
  <c r="T57" i="4"/>
  <c r="Z1643" i="13"/>
  <c r="AX1580" i="13"/>
  <c r="A1679" i="13"/>
  <c r="AX1679" i="13" s="1"/>
  <c r="Z1658" i="13"/>
  <c r="T72" i="4"/>
  <c r="S72" i="4"/>
  <c r="AX1409" i="13"/>
  <c r="Z1508" i="13"/>
  <c r="AV1409" i="13"/>
  <c r="AV1509" i="13"/>
  <c r="AV1607" i="13" s="1"/>
  <c r="A1508" i="13"/>
  <c r="T65" i="4"/>
  <c r="S65" i="4"/>
  <c r="Z1651" i="13"/>
  <c r="Z1630" i="13"/>
  <c r="S44" i="4"/>
  <c r="T44" i="4"/>
  <c r="AX1506" i="13"/>
  <c r="A1605" i="13"/>
  <c r="AX1605" i="13" s="1"/>
  <c r="A1621" i="13"/>
  <c r="AX1621" i="13" s="1"/>
  <c r="AX1522" i="13"/>
  <c r="Z1603" i="13"/>
  <c r="S17" i="4"/>
  <c r="T17" i="4"/>
  <c r="AX1518" i="13"/>
  <c r="A1617" i="13"/>
  <c r="AX1617" i="13" s="1"/>
  <c r="A1622" i="13"/>
  <c r="AX1622" i="13" s="1"/>
  <c r="AX1523" i="13"/>
  <c r="AX1550" i="13"/>
  <c r="A1649" i="13"/>
  <c r="AX1649" i="13" s="1"/>
  <c r="S45" i="4"/>
  <c r="Z1631" i="13"/>
  <c r="T45" i="4"/>
  <c r="AX1496" i="13"/>
  <c r="A1595" i="13"/>
  <c r="AX1595" i="13" s="1"/>
  <c r="A1664" i="13"/>
  <c r="AX1664" i="13" s="1"/>
  <c r="AX1565" i="13"/>
  <c r="S20" i="4"/>
  <c r="Z1606" i="13"/>
  <c r="T20" i="4"/>
  <c r="I1689" i="13"/>
  <c r="S3" i="4"/>
  <c r="T3" i="4"/>
  <c r="AD1688" i="13" a="1"/>
  <c r="AD1688" i="13" s="1"/>
  <c r="AD1687" i="13"/>
  <c r="Z1589" i="13"/>
  <c r="S42" i="4"/>
  <c r="Z1628" i="13"/>
  <c r="T42" i="4"/>
  <c r="AX1572" i="13"/>
  <c r="A1671" i="13"/>
  <c r="AX1671" i="13" s="1"/>
  <c r="Z1655" i="13"/>
  <c r="S69" i="4"/>
  <c r="T69" i="4"/>
  <c r="AX1495" i="13"/>
  <c r="A1594" i="13"/>
  <c r="AX1594" i="13" s="1"/>
  <c r="S28" i="4"/>
  <c r="Z1614" i="13"/>
  <c r="T28" i="4"/>
  <c r="Z1605" i="13"/>
  <c r="T19" i="4"/>
  <c r="S19" i="4"/>
  <c r="T53" i="4"/>
  <c r="Z1639" i="13"/>
  <c r="S53" i="4"/>
  <c r="AX1537" i="13"/>
  <c r="A1636" i="13"/>
  <c r="AX1636" i="13" s="1"/>
  <c r="A1650" i="13"/>
  <c r="AX1650" i="13" s="1"/>
  <c r="AX1551" i="13"/>
  <c r="AX1571" i="13"/>
  <c r="A1670" i="13"/>
  <c r="AX1670" i="13" s="1"/>
  <c r="S11" i="4"/>
  <c r="T11" i="4"/>
  <c r="Z1597" i="13"/>
  <c r="S35" i="4"/>
  <c r="T35" i="4"/>
  <c r="Z1621" i="13"/>
  <c r="S90" i="4"/>
  <c r="T90" i="4"/>
  <c r="Z1676" i="13"/>
  <c r="S13" i="4"/>
  <c r="T13" i="4"/>
  <c r="Z1599" i="13"/>
  <c r="AX1557" i="13"/>
  <c r="A1656" i="13"/>
  <c r="AX1656" i="13" s="1"/>
  <c r="Z1619" i="13"/>
  <c r="T33" i="4"/>
  <c r="S33" i="4"/>
  <c r="S74" i="4"/>
  <c r="Z1660" i="13"/>
  <c r="T74" i="4"/>
  <c r="T51" i="4"/>
  <c r="Z1637" i="13"/>
  <c r="S51" i="4"/>
  <c r="A1593" i="13"/>
  <c r="AX1593" i="13" s="1"/>
  <c r="AX1494" i="13"/>
  <c r="AX1520" i="13"/>
  <c r="A1619" i="13"/>
  <c r="AX1619" i="13" s="1"/>
  <c r="A1600" i="13"/>
  <c r="AX1600" i="13" s="1"/>
  <c r="AX1501" i="13"/>
  <c r="A1608" i="13"/>
  <c r="AX1608" i="13" s="1"/>
  <c r="AX1509" i="13"/>
  <c r="A1597" i="13"/>
  <c r="AX1597" i="13" s="1"/>
  <c r="AX1498" i="13"/>
  <c r="T16" i="4"/>
  <c r="Z1602" i="13"/>
  <c r="S16" i="4"/>
  <c r="S48" i="4"/>
  <c r="Z1634" i="13"/>
  <c r="T48" i="4"/>
  <c r="S31" i="4"/>
  <c r="T31" i="4"/>
  <c r="Z1617" i="13"/>
  <c r="S36" i="4"/>
  <c r="Z1622" i="13"/>
  <c r="T36" i="4"/>
  <c r="A1631" i="13"/>
  <c r="AX1631" i="13" s="1"/>
  <c r="AX1532" i="13"/>
  <c r="T62" i="4"/>
  <c r="Z1648" i="13"/>
  <c r="S62" i="4"/>
  <c r="A1673" i="13"/>
  <c r="AX1673" i="13" s="1"/>
  <c r="AX1574" i="13"/>
  <c r="Z1664" i="13"/>
  <c r="T78" i="4"/>
  <c r="S78" i="4"/>
  <c r="AX1507" i="13"/>
  <c r="A1606" i="13"/>
  <c r="AX1606" i="13" s="1"/>
  <c r="AX1556" i="13"/>
  <c r="A1655" i="13"/>
  <c r="AX1655" i="13" s="1"/>
  <c r="S41" i="4"/>
  <c r="T41" i="4"/>
  <c r="Z1627" i="13"/>
  <c r="S12" i="4"/>
  <c r="Z1598" i="13"/>
  <c r="T12" i="4"/>
  <c r="AX1544" i="13"/>
  <c r="A1643" i="13"/>
  <c r="AX1643" i="13" s="1"/>
  <c r="AX1540" i="13"/>
  <c r="A1639" i="13"/>
  <c r="AX1639" i="13" s="1"/>
  <c r="A1638" i="13"/>
  <c r="AX1638" i="13" s="1"/>
  <c r="AX1539" i="13"/>
  <c r="S24" i="4"/>
  <c r="Z1610" i="13"/>
  <c r="T24" i="4"/>
  <c r="Z1679" i="13"/>
  <c r="T93" i="4"/>
  <c r="S93" i="4"/>
  <c r="AX1510" i="13"/>
  <c r="A1609" i="13"/>
  <c r="AX1609" i="13" s="1"/>
  <c r="A1651" i="13"/>
  <c r="AX1651" i="13" s="1"/>
  <c r="AX1552" i="13"/>
  <c r="F1688" i="13" l="1" a="1"/>
  <c r="F1688" i="13" s="1"/>
  <c r="F1687" i="13"/>
  <c r="A1646" i="13"/>
  <c r="AX1646" i="13" s="1"/>
  <c r="AX1547" i="13"/>
  <c r="Z1542" i="13"/>
  <c r="AX1443" i="13"/>
  <c r="A1542" i="13"/>
  <c r="AV1443" i="13"/>
  <c r="AV1484" i="13" s="1"/>
  <c r="AV1543" i="13"/>
  <c r="AV1641" i="13" s="1"/>
  <c r="AX1508" i="13"/>
  <c r="A1607" i="13"/>
  <c r="AX1607" i="13" s="1"/>
  <c r="S21" i="4"/>
  <c r="T21" i="4"/>
  <c r="Z1607" i="13"/>
  <c r="Z1646" i="13"/>
  <c r="S60" i="4"/>
  <c r="T60" i="4"/>
  <c r="A1641" i="13" l="1"/>
  <c r="AX1641" i="13" s="1"/>
  <c r="AX1542" i="13"/>
  <c r="Z1641" i="13"/>
  <c r="T55" i="4"/>
  <c r="T96" i="4" s="1"/>
  <c r="S55" i="4"/>
  <c r="S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4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</futureMetadata>
  <cellMetadata count="1">
    <bk>
      <rc t="1" v="0"/>
    </bk>
  </cellMetadata>
  <valueMetadata count="34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</valueMetadata>
</metadata>
</file>

<file path=xl/sharedStrings.xml><?xml version="1.0" encoding="utf-8"?>
<sst xmlns="http://schemas.openxmlformats.org/spreadsheetml/2006/main" count="5624" uniqueCount="2615">
  <si>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</si>
  <si>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</si>
  <si>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</si>
  <si>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</si>
  <si>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</si>
  <si>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</si>
  <si>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</si>
  <si>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</si>
  <si>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</si>
  <si>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</si>
  <si>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</si>
  <si>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</si>
  <si>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</si>
  <si>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</si>
  <si>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</si>
  <si>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</si>
  <si>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</si>
  <si>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</si>
  <si>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</si>
  <si>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</si>
  <si>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</si>
  <si>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</si>
  <si>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</si>
  <si>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</si>
  <si>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</si>
  <si>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</si>
  <si>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</si>
  <si>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</si>
  <si>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</si>
  <si>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</si>
  <si>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</si>
  <si>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</si>
  <si>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</si>
  <si>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</si>
  <si>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</si>
  <si>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</si>
  <si>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</si>
  <si>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</si>
  <si>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</si>
  <si>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</si>
  <si>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</si>
  <si>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</si>
  <si>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</si>
  <si>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</si>
  <si>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</si>
  <si>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</si>
  <si>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</si>
  <si>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</si>
  <si>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</si>
  <si>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</si>
  <si>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</si>
  <si>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</si>
  <si>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</si>
  <si>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</si>
  <si>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</si>
  <si>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</si>
  <si>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</si>
  <si>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</si>
  <si>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</si>
  <si>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</si>
  <si>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</si>
  <si>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</si>
  <si>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</si>
  <si>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</si>
  <si>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</si>
  <si>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</si>
  <si>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</si>
  <si>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</si>
  <si>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</si>
  <si>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</si>
  <si>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</si>
  <si>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</si>
  <si>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</si>
  <si>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</si>
  <si>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</si>
  <si>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</si>
  <si>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</si>
  <si>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</si>
  <si>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</si>
  <si>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</si>
  <si>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</si>
  <si>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</si>
  <si>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</si>
  <si>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</si>
  <si>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</si>
  <si>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</si>
  <si>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</si>
  <si>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</si>
  <si>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</si>
  <si>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</si>
  <si>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</si>
  <si>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</si>
  <si>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</si>
  <si>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</si>
  <si>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</si>
  <si>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</si>
  <si>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</si>
  <si>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</si>
  <si>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</si>
  <si>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</si>
  <si>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</si>
  <si>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</si>
  <si>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</si>
  <si>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</si>
  <si>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</si>
  <si>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</si>
  <si>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</si>
  <si>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</si>
  <si>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</si>
  <si>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</si>
  <si>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</si>
  <si>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</si>
  <si>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</si>
  <si>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</si>
  <si>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</si>
  <si>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</si>
  <si>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</si>
  <si>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</si>
  <si>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</si>
  <si>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</si>
  <si>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</si>
  <si>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</si>
  <si>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</si>
  <si>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</si>
  <si>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</si>
  <si>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</si>
  <si>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</si>
  <si>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</si>
  <si>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</si>
  <si>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</si>
  <si>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</si>
  <si>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</si>
  <si>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</si>
  <si>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</si>
  <si>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</si>
  <si>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</si>
  <si>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</si>
  <si>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</si>
  <si>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</si>
  <si>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</si>
  <si>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</si>
  <si>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</si>
  <si>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</si>
  <si>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</si>
  <si>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</si>
  <si>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</si>
  <si>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</si>
  <si>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</si>
  <si>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</si>
  <si>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</si>
  <si>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</si>
  <si>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</si>
  <si>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</si>
  <si>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</si>
  <si>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</si>
  <si>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</si>
  <si>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</si>
  <si>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</si>
  <si>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</si>
  <si>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</si>
  <si>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</si>
  <si>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</si>
  <si>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</si>
  <si>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</si>
  <si>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</si>
  <si>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</si>
  <si>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</si>
  <si>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</si>
  <si>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</si>
  <si>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</si>
  <si>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</si>
  <si>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</si>
  <si>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</si>
  <si>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</si>
  <si>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</si>
  <si>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</si>
  <si>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</si>
  <si>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</si>
  <si>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</si>
  <si>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</si>
  <si>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</si>
  <si>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</si>
  <si>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</si>
  <si>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</si>
  <si>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</si>
  <si>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</si>
  <si>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</si>
  <si>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</si>
  <si>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</si>
  <si>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</si>
  <si>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</si>
  <si>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</si>
  <si>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</si>
  <si>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</si>
  <si>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</si>
  <si>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</si>
  <si>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</si>
  <si>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</si>
  <si>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</si>
  <si>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</si>
  <si>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</si>
  <si>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</si>
  <si>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</si>
  <si>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</si>
  <si>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</si>
  <si>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</si>
  <si>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</si>
  <si>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</si>
  <si>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</si>
  <si>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</si>
  <si>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</si>
  <si>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</si>
  <si>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</si>
  <si>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</si>
  <si>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</si>
  <si>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</si>
  <si>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</si>
  <si>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</si>
  <si>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</si>
  <si>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</si>
  <si>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</si>
  <si>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</si>
  <si>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</si>
  <si>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</si>
  <si>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</si>
  <si>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</si>
  <si>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</si>
  <si>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</si>
  <si>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</si>
  <si>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</si>
  <si>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</si>
  <si>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</si>
  <si>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</si>
  <si>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</si>
  <si>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</si>
  <si>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</si>
  <si>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</si>
  <si>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</si>
  <si>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</si>
  <si>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</si>
  <si>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</si>
  <si>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</si>
  <si>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</si>
  <si>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</si>
  <si>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</si>
  <si>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</si>
  <si>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</si>
  <si>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</si>
  <si>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</si>
  <si>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</si>
  <si>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</si>
  <si>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</si>
  <si>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</si>
  <si>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</si>
  <si>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</si>
  <si>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</si>
  <si>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</si>
  <si>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</si>
  <si>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</si>
  <si>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</si>
  <si>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</si>
  <si>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</si>
  <si>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</si>
  <si>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</si>
  <si>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</si>
  <si>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</si>
  <si>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</si>
  <si>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</si>
  <si>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</si>
  <si>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</si>
  <si>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</si>
  <si>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</si>
  <si>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</si>
  <si>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</si>
  <si>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</si>
  <si>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</si>
  <si>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</si>
  <si>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</si>
  <si>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</si>
  <si>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</si>
  <si>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</si>
  <si>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</si>
  <si>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</si>
  <si>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</si>
  <si>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</si>
  <si>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</si>
  <si>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</si>
  <si>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</si>
  <si>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</si>
  <si>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</si>
  <si>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</si>
  <si>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</si>
  <si>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</si>
  <si>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</si>
  <si>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</si>
  <si>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</si>
  <si>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</si>
  <si>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</si>
  <si>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</si>
  <si>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</si>
  <si>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</si>
  <si>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</si>
  <si>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</si>
  <si>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</si>
  <si>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</si>
  <si>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</si>
  <si>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</si>
  <si>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</si>
  <si>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</si>
  <si>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</si>
  <si>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</si>
  <si>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</si>
  <si>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</si>
  <si>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</si>
  <si>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</si>
  <si>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</si>
  <si>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</si>
  <si>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</si>
  <si>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</si>
  <si>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</si>
  <si>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</si>
  <si>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</si>
  <si>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</si>
  <si>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</si>
  <si>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</si>
  <si>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</si>
  <si>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</si>
  <si>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</si>
  <si>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</si>
  <si>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</si>
  <si>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</si>
  <si>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</si>
  <si>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</si>
  <si>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</si>
  <si>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</si>
  <si>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</si>
  <si>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</si>
  <si>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</si>
  <si>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</si>
  <si>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</si>
  <si>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</si>
  <si>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</si>
  <si>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</si>
  <si>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</si>
  <si>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</si>
  <si>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</si>
  <si>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</si>
  <si>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</si>
  <si>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</si>
  <si>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</si>
  <si>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</si>
  <si>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</si>
  <si>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</si>
  <si>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</si>
  <si>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</si>
  <si>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</si>
  <si>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</si>
  <si>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</si>
  <si>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</si>
  <si>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</si>
  <si>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</si>
  <si>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</si>
  <si>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</si>
  <si>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</si>
  <si>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</si>
  <si>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</si>
  <si>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</si>
  <si>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</si>
  <si>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</si>
  <si>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</si>
  <si>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</si>
  <si>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</si>
  <si>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</si>
  <si>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</si>
  <si>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</si>
  <si>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</si>
  <si>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</si>
  <si>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</si>
  <si>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</si>
  <si>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</si>
  <si>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</si>
  <si>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</si>
  <si>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</si>
  <si>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</si>
  <si>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</si>
  <si>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</si>
  <si>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</si>
  <si>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</si>
  <si>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</si>
  <si>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</si>
  <si>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</si>
  <si>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</si>
  <si>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</si>
  <si>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</si>
  <si>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</si>
  <si>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</si>
  <si>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</si>
  <si>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</si>
  <si>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</si>
  <si>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</si>
  <si>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</si>
  <si>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</si>
  <si>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</si>
  <si>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</si>
  <si>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</si>
  <si>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</si>
  <si>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</si>
  <si>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</si>
  <si>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</si>
  <si>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</si>
  <si>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</si>
  <si>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</si>
  <si>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</si>
  <si>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</si>
  <si>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</si>
  <si>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</si>
  <si>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</si>
  <si>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</si>
  <si>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</si>
  <si>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</si>
  <si>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</si>
  <si>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</si>
  <si>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</si>
  <si>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</si>
  <si>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</si>
  <si>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</si>
  <si>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</si>
  <si>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</si>
  <si>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</si>
  <si>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</si>
  <si>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</si>
  <si>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</si>
  <si>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</si>
  <si>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</si>
  <si>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</si>
  <si>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</si>
  <si>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</si>
  <si>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</si>
  <si>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</si>
  <si>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</si>
  <si>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</si>
  <si>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</si>
  <si>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</si>
  <si>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</si>
  <si>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</si>
  <si>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</si>
  <si>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</si>
  <si>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</si>
  <si>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</si>
  <si>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</si>
  <si>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</si>
  <si>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</si>
  <si>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</si>
  <si>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</si>
  <si>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</si>
  <si>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</si>
  <si>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</si>
  <si>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</si>
  <si>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</si>
  <si>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</si>
  <si>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</si>
  <si>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</si>
  <si>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</si>
  <si>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</si>
  <si>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</si>
  <si>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</si>
  <si>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</si>
  <si>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</si>
  <si>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</si>
  <si>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</si>
  <si>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</si>
  <si>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</si>
  <si>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</si>
  <si>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</si>
  <si>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</si>
  <si>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</si>
  <si>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</si>
  <si>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</si>
  <si>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</si>
  <si>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</si>
  <si>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</si>
  <si>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</si>
  <si>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</si>
  <si>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</si>
  <si>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</si>
  <si>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</si>
  <si>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</si>
  <si>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</si>
  <si>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</si>
  <si>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</si>
  <si>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</si>
  <si>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</si>
  <si>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</si>
  <si>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</si>
  <si>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</si>
  <si>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</si>
  <si>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</si>
  <si>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</si>
  <si>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</si>
  <si>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</si>
  <si>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</si>
  <si>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</si>
  <si>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</si>
  <si>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</si>
  <si>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</si>
  <si>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</si>
  <si>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</si>
  <si>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</si>
  <si>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</si>
  <si>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</si>
  <si>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</si>
  <si>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</si>
  <si>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</si>
  <si>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</si>
  <si>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</si>
  <si>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</si>
  <si>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</si>
  <si>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</si>
  <si>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</si>
  <si>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</si>
  <si>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</si>
  <si>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</si>
  <si>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</si>
  <si>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</si>
  <si>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</si>
  <si>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</si>
  <si>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</si>
  <si>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</si>
  <si>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</si>
  <si>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</si>
  <si>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</si>
  <si>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</si>
  <si>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</si>
  <si>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</si>
  <si>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</si>
  <si>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</si>
  <si>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</si>
  <si>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</si>
  <si>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</si>
  <si>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</si>
  <si>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</si>
  <si>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</si>
  <si>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</si>
  <si>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</si>
  <si>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</si>
  <si>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</si>
  <si>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</si>
  <si>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</si>
  <si>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</si>
  <si>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</si>
  <si>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</si>
  <si>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</si>
  <si>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</si>
  <si>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</si>
  <si>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</si>
  <si>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</si>
  <si>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</si>
  <si>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</si>
  <si>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</si>
  <si>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</si>
  <si>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</si>
  <si>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</si>
  <si>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</si>
  <si>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</si>
  <si>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</si>
  <si>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</si>
  <si>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</si>
  <si>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</si>
  <si>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</si>
  <si>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</si>
  <si>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</si>
  <si>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</si>
  <si>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</si>
  <si>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</si>
  <si>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</si>
  <si>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</si>
  <si>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</si>
  <si>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</si>
  <si>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</si>
  <si>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</si>
  <si>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</si>
  <si>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</si>
  <si>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</si>
  <si>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</si>
  <si>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</si>
  <si>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</si>
  <si>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</si>
  <si>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</si>
  <si>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</si>
  <si>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</si>
  <si>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</si>
  <si>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</si>
  <si>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</si>
  <si>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</si>
  <si>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</si>
  <si>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</si>
  <si>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</si>
  <si>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</si>
  <si>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</si>
  <si>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</si>
  <si>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</si>
  <si>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</si>
  <si>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</si>
  <si>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</si>
  <si>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</si>
  <si>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</si>
  <si>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</si>
  <si>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</si>
  <si>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</si>
  <si>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</si>
  <si>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</si>
  <si>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</si>
  <si>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</si>
  <si>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</si>
  <si>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</si>
  <si>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</si>
  <si>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</si>
  <si>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</si>
  <si>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</si>
  <si>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</si>
  <si>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</si>
  <si>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</si>
  <si>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</si>
  <si>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</si>
  <si>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</si>
  <si>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</si>
  <si>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</si>
  <si>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</si>
  <si>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</si>
  <si>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</si>
  <si>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</si>
  <si>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</si>
  <si>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</si>
  <si>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</si>
  <si>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</si>
  <si>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</si>
  <si>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</si>
  <si>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</si>
  <si>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</si>
  <si>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</si>
  <si>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</si>
  <si>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</si>
  <si>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</si>
  <si>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</si>
  <si>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</si>
  <si>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</si>
  <si>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</si>
  <si>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</si>
  <si>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</si>
  <si>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</si>
  <si>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</si>
  <si>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</si>
  <si>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</si>
  <si>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</si>
  <si>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</si>
  <si>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</si>
  <si>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</si>
  <si>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</si>
  <si>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</si>
  <si>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</si>
  <si>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</si>
  <si>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</si>
  <si>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</si>
  <si>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</si>
  <si>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</si>
  <si>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</si>
  <si>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</si>
  <si>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</si>
  <si>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</si>
  <si>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</si>
  <si>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</si>
  <si>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</si>
  <si>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</si>
  <si>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</si>
  <si>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</si>
  <si>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</si>
  <si>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</si>
  <si>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</si>
  <si>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</si>
  <si>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</si>
  <si>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</si>
  <si>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</si>
  <si>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</si>
  <si>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</si>
  <si>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</si>
  <si>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</si>
  <si>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</si>
  <si>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</si>
  <si>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</si>
  <si>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</si>
  <si>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</si>
  <si>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</si>
  <si>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</si>
  <si>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</si>
  <si>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</si>
  <si>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</si>
  <si>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</si>
  <si>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</si>
  <si>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</si>
  <si>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</si>
  <si>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</si>
  <si>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</si>
  <si>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</si>
  <si>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</si>
  <si>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</si>
  <si>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</si>
  <si>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</si>
  <si>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</si>
  <si>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</si>
  <si>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</si>
  <si>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</si>
  <si>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</si>
  <si>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</si>
  <si>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</si>
  <si>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</si>
  <si>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</si>
  <si>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</si>
  <si>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</si>
  <si>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</si>
  <si>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</si>
  <si>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</si>
  <si>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</si>
  <si>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</si>
  <si>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</si>
  <si>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</si>
  <si>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</si>
  <si>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</si>
  <si>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</si>
  <si>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</si>
  <si>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</si>
  <si>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</si>
  <si>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</si>
  <si>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</si>
  <si>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</si>
  <si>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</si>
  <si>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</si>
  <si>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</si>
  <si>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</si>
  <si>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</si>
  <si>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</si>
  <si>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</si>
  <si>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</si>
  <si>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</si>
  <si>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</si>
  <si>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</si>
  <si>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</si>
  <si>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</si>
  <si>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</si>
  <si>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</si>
  <si>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</si>
  <si>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</si>
  <si>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</si>
  <si>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</si>
  <si>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</si>
  <si>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</si>
  <si>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</si>
  <si>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</si>
  <si>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</si>
  <si>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</si>
  <si>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</si>
  <si>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</si>
  <si>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</si>
  <si>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</si>
  <si>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</si>
  <si>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</si>
  <si>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</si>
  <si>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</si>
  <si>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</si>
  <si>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</si>
  <si>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</si>
  <si>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</si>
  <si>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</si>
  <si>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</si>
  <si>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</si>
  <si>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</si>
  <si>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</si>
  <si>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</si>
  <si>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</si>
  <si>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</si>
  <si>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</si>
  <si>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</si>
  <si>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</si>
  <si>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</si>
  <si>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</si>
  <si>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</si>
  <si>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</si>
  <si>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</si>
  <si>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</si>
  <si>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</si>
  <si>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</si>
  <si>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</si>
  <si>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</si>
  <si>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</si>
  <si>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</si>
  <si>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</si>
  <si>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</si>
  <si>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</si>
  <si>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</si>
  <si>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</si>
  <si>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</si>
  <si>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</si>
  <si>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</si>
  <si>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</si>
  <si>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</si>
  <si>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</si>
  <si>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</si>
  <si>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</si>
  <si>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</si>
  <si>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</si>
  <si>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</si>
  <si>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</si>
  <si>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</si>
  <si>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</si>
  <si>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</si>
  <si>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</si>
  <si>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</si>
  <si>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</si>
  <si>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</si>
  <si>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</si>
  <si>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</si>
  <si>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</si>
  <si>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</si>
  <si>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</si>
  <si>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</si>
  <si>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</si>
  <si>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</si>
  <si>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</si>
  <si>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</si>
  <si>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</si>
  <si>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</si>
  <si>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</si>
  <si>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</si>
  <si>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</si>
  <si>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</si>
  <si>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</si>
  <si>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</si>
  <si>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</si>
  <si>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</si>
  <si>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</si>
  <si>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</si>
  <si>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</si>
  <si>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</si>
  <si>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</si>
  <si>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</si>
  <si>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</si>
  <si>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</si>
  <si>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</si>
  <si>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</si>
  <si>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</si>
  <si>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</si>
  <si>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</si>
  <si>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</si>
  <si>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</si>
  <si>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</si>
  <si>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</si>
  <si>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</si>
  <si>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</si>
  <si>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</si>
  <si>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</si>
  <si>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</si>
  <si>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</si>
  <si>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</si>
  <si>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</si>
  <si>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</si>
  <si>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</si>
  <si>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</si>
  <si>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</si>
  <si>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</si>
  <si>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</si>
  <si>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</si>
  <si>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</si>
  <si>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</si>
  <si>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</si>
  <si>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</si>
  <si>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</si>
  <si>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</si>
  <si>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</si>
  <si>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</si>
  <si>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</si>
  <si>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</si>
  <si>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</si>
  <si>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</si>
  <si>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</si>
  <si>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</si>
  <si>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</si>
  <si>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</si>
  <si>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</si>
  <si>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</si>
  <si>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</si>
  <si>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</si>
  <si>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</si>
  <si>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</si>
  <si>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</si>
  <si>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</si>
  <si>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</si>
  <si>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</si>
  <si>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</si>
  <si>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</si>
  <si>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</si>
  <si>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</si>
  <si>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</si>
  <si>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</si>
  <si>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</si>
  <si>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</si>
  <si>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</si>
  <si>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</si>
  <si>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</si>
  <si>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</si>
  <si>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</si>
  <si>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</si>
  <si>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</si>
  <si>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</si>
  <si>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</si>
  <si>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</si>
  <si>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</si>
  <si>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</si>
  <si>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</si>
  <si>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</si>
  <si>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</si>
  <si>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</si>
  <si>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</si>
  <si>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</si>
  <si>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</si>
  <si>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</si>
  <si>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</si>
  <si>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</si>
  <si>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</si>
  <si>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</si>
  <si>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</si>
  <si>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</si>
  <si>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</si>
  <si>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</si>
  <si>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</si>
  <si>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</si>
  <si>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</si>
  <si>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</si>
  <si>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</si>
  <si>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</si>
  <si>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</si>
  <si>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</si>
  <si>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</si>
  <si>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</si>
  <si>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</si>
  <si>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</si>
  <si>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</si>
  <si>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</si>
  <si>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</si>
  <si>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</si>
  <si>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</si>
  <si>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</si>
  <si>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</si>
  <si>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</si>
  <si>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</si>
  <si>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</si>
  <si>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</si>
  <si>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</si>
  <si>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</si>
  <si>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</si>
  <si>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</si>
  <si>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</si>
  <si>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</si>
  <si>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</si>
  <si>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</si>
  <si>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</si>
  <si>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</si>
  <si>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</si>
  <si>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</si>
  <si>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</si>
  <si>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</si>
  <si>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</si>
  <si>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</si>
  <si>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</si>
  <si>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</si>
  <si>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</si>
  <si>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</si>
  <si>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</si>
  <si>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</si>
  <si>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</si>
  <si>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</si>
  <si>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</si>
  <si>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</si>
  <si>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</si>
  <si>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</si>
  <si>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</si>
  <si>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</si>
  <si>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</si>
  <si>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</si>
  <si>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</si>
  <si>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</si>
  <si>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</si>
  <si>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</si>
  <si>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</si>
  <si>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</si>
  <si>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</si>
  <si>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</si>
  <si>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</si>
  <si>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</si>
  <si>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</si>
  <si>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</si>
  <si>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</si>
  <si>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</si>
  <si>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</si>
  <si>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</si>
  <si>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</si>
  <si>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</si>
  <si>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</si>
  <si>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</si>
  <si>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</si>
  <si>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</si>
  <si>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</si>
  <si>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</si>
  <si>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</si>
  <si>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</si>
  <si>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</si>
  <si>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</si>
  <si>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</si>
  <si>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</si>
  <si>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</si>
  <si>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</si>
  <si>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</si>
  <si>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</si>
  <si>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</si>
  <si>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</si>
  <si>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</si>
  <si>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</si>
  <si>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</si>
  <si>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</si>
  <si>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</si>
  <si>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</si>
  <si>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</si>
  <si>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</si>
  <si>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</si>
  <si>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</si>
  <si>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</si>
  <si>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</si>
  <si>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</si>
  <si>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</si>
  <si>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</si>
  <si>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</si>
  <si>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</si>
  <si>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</si>
  <si>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</si>
  <si>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</si>
  <si>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</si>
  <si>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</si>
  <si>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</si>
  <si>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</si>
  <si>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</si>
  <si>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</si>
  <si>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</si>
  <si>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</si>
  <si>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</si>
  <si>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</si>
  <si>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</si>
  <si>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</si>
  <si>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</si>
  <si>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</si>
  <si>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</si>
  <si>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</si>
  <si>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</si>
  <si>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</si>
  <si>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</si>
  <si>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</si>
  <si>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</si>
  <si>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</si>
  <si>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</si>
  <si>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</si>
  <si>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</si>
  <si>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</si>
  <si>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</si>
  <si>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</si>
  <si>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</si>
  <si>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</si>
  <si>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</si>
  <si>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</si>
  <si>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</si>
  <si>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</si>
  <si>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</si>
  <si>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</si>
  <si>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</si>
  <si>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</si>
  <si>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</si>
  <si>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</si>
  <si>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</si>
  <si>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</si>
  <si>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</si>
  <si>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</si>
  <si>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</si>
  <si>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</si>
  <si>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</si>
  <si>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</si>
  <si>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</si>
  <si>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</si>
  <si>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</si>
  <si>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</si>
  <si>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</si>
  <si>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</si>
  <si>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</si>
  <si>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</si>
  <si>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</si>
  <si>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</si>
  <si>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</si>
  <si>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</si>
  <si>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</si>
  <si>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</si>
  <si>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</si>
  <si>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</si>
  <si>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</si>
  <si>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</si>
  <si>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</si>
  <si>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</si>
  <si>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</si>
  <si>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</si>
  <si>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</si>
  <si>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</si>
  <si>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</si>
  <si>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</si>
  <si>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</si>
  <si>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</si>
  <si>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</si>
  <si>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</si>
  <si>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</si>
  <si>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</si>
  <si>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</si>
  <si>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</si>
  <si>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</si>
  <si>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</si>
  <si>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</si>
  <si>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</si>
  <si>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</si>
  <si>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</si>
  <si>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</si>
  <si>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</si>
  <si>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</si>
  <si>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</si>
  <si>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</si>
  <si>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</si>
  <si>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</si>
  <si>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</si>
  <si>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</si>
  <si>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</si>
  <si>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</si>
  <si>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</si>
  <si>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</si>
  <si>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</si>
  <si>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</si>
  <si>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</si>
  <si>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</si>
  <si>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</si>
  <si>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</si>
  <si>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</si>
  <si>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</si>
  <si>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</si>
  <si>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</si>
  <si>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</si>
  <si>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</si>
  <si>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</si>
  <si>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</si>
  <si>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</si>
  <si>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</si>
  <si>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</si>
  <si>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</si>
  <si>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</si>
  <si>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</si>
  <si>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</si>
  <si>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</si>
  <si>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</si>
  <si>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</si>
  <si>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</si>
  <si>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</si>
  <si>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</si>
  <si>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</si>
  <si>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</si>
  <si>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</si>
  <si>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</si>
  <si>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</si>
  <si>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</si>
  <si>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</si>
  <si>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</si>
  <si>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</si>
  <si>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</si>
  <si>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</si>
  <si>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</si>
  <si>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</si>
  <si>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</si>
  <si>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</si>
  <si>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</si>
  <si>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</si>
  <si>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</si>
  <si>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</si>
  <si>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</si>
  <si>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</si>
  <si>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</si>
  <si>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</si>
  <si>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</si>
  <si>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</si>
  <si>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</si>
  <si>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</si>
  <si>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</si>
  <si>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</si>
  <si>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</si>
  <si>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</si>
  <si>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</si>
  <si>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</si>
  <si>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</si>
  <si>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</si>
  <si>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</si>
  <si>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</si>
  <si>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</si>
  <si>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</si>
  <si>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</si>
  <si>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</si>
  <si>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</si>
  <si>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</si>
  <si>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</si>
  <si>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</si>
  <si>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</si>
  <si>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</si>
  <si>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</si>
  <si>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</si>
  <si>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</si>
  <si>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</si>
  <si>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</si>
  <si>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</si>
  <si>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</si>
  <si>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</si>
  <si>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</si>
  <si>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</si>
  <si>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</si>
  <si>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</si>
  <si>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</si>
  <si>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</si>
  <si>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</si>
  <si>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</si>
  <si>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</si>
  <si>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</si>
  <si>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</si>
  <si>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</si>
  <si>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</si>
  <si>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</si>
  <si>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</si>
  <si>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</si>
  <si>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</si>
  <si>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</si>
  <si>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</si>
  <si>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</si>
  <si>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</si>
  <si>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</si>
  <si>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</si>
  <si>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</si>
  <si>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</si>
  <si>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</si>
  <si>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</si>
  <si>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</si>
  <si>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</si>
  <si>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</si>
  <si>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</si>
  <si>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</si>
  <si>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</si>
  <si>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</si>
  <si>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</si>
  <si>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</si>
  <si>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</si>
  <si>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</si>
  <si>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</si>
  <si>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</si>
  <si>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</si>
  <si>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</si>
  <si>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</si>
  <si>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</si>
  <si>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</si>
  <si>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</si>
  <si>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</si>
  <si>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</si>
  <si>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</si>
  <si>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</si>
  <si>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</si>
  <si>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</si>
  <si>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</si>
  <si>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</si>
  <si>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</si>
  <si>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</si>
  <si>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</si>
  <si>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</si>
  <si>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</si>
  <si>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</si>
  <si>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</si>
  <si>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</si>
  <si>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</si>
  <si>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</si>
  <si>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</si>
  <si>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</si>
  <si>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</si>
  <si>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</si>
  <si>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</si>
  <si>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</si>
  <si>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</si>
  <si>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</si>
  <si>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</si>
  <si>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</si>
  <si>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</si>
  <si>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</si>
  <si>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</si>
  <si>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</si>
  <si>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</si>
  <si>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</si>
  <si>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</si>
  <si>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</si>
  <si>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</si>
  <si>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</si>
  <si>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</si>
  <si>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</si>
  <si>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</si>
  <si>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</si>
  <si>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</si>
  <si>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</si>
  <si>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</si>
  <si>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</si>
  <si>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</si>
  <si>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</si>
  <si>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</si>
  <si>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</si>
  <si>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</si>
  <si>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</si>
  <si>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</si>
  <si>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</si>
  <si>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</si>
  <si>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</si>
  <si>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</si>
  <si>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</si>
  <si>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</si>
  <si>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</si>
  <si>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</si>
  <si>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</si>
  <si>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</si>
  <si>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</si>
  <si>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</si>
  <si>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</si>
  <si>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</si>
  <si>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</si>
  <si>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</si>
  <si>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</si>
  <si>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</si>
  <si>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</si>
  <si>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</si>
  <si>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</si>
  <si>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</si>
  <si>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</si>
  <si>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</si>
  <si>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</si>
  <si>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</si>
  <si>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</si>
  <si>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</si>
  <si>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</si>
  <si>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</si>
  <si>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</si>
  <si>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</si>
  <si>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</si>
  <si>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</si>
  <si>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</si>
  <si>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</si>
  <si>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</si>
  <si>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</si>
  <si>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</si>
  <si>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</si>
  <si>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</si>
  <si>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</si>
  <si>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</si>
  <si>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</si>
  <si>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</si>
  <si>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</si>
  <si>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</si>
  <si>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</si>
  <si>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</si>
  <si>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</si>
  <si>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</si>
  <si>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</si>
  <si>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</si>
  <si>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</si>
  <si>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</si>
  <si>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</si>
  <si>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</si>
  <si>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</si>
  <si>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</si>
  <si>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</si>
  <si>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</si>
  <si>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</si>
  <si>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</si>
  <si>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</si>
  <si>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</si>
  <si>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</si>
  <si>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</si>
  <si>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</si>
  <si>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</si>
  <si>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</si>
  <si>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</si>
  <si>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</si>
  <si>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</si>
  <si>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</si>
  <si>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</si>
  <si>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</si>
  <si>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</si>
  <si>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</si>
  <si>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</si>
  <si>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</si>
  <si>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</si>
  <si>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</si>
  <si>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</si>
  <si>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</si>
  <si>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</si>
  <si>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</si>
  <si>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</si>
  <si>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</si>
  <si>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</si>
  <si>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</si>
  <si>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</si>
  <si>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</si>
  <si>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</si>
  <si>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</si>
  <si>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</si>
  <si>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</si>
  <si>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</si>
  <si>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</si>
  <si>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</si>
  <si>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</si>
  <si>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</si>
  <si>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</si>
  <si>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</si>
  <si>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</si>
  <si>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</si>
  <si>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</si>
  <si>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</si>
  <si>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</si>
  <si>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</si>
  <si>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</si>
  <si>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</si>
  <si>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</si>
  <si>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</si>
  <si>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</si>
  <si>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</si>
  <si>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</si>
  <si>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</si>
  <si>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</si>
  <si>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</si>
  <si>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</si>
  <si>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</si>
  <si>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</si>
  <si>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</si>
  <si>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</si>
  <si>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</si>
  <si>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</si>
  <si>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</si>
  <si>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</si>
  <si>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</si>
  <si>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</si>
  <si>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</si>
  <si>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</si>
  <si>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</si>
  <si>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</si>
  <si>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</si>
  <si>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</si>
  <si>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</si>
  <si>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</si>
  <si>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</si>
  <si>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</si>
  <si>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</si>
  <si>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</si>
  <si>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</si>
  <si>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</si>
  <si>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</si>
  <si>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</si>
  <si>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</si>
  <si>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</si>
  <si>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</si>
  <si>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</si>
  <si>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</si>
  <si>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</si>
  <si>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</si>
  <si>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</si>
  <si>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</si>
  <si>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</si>
  <si>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</si>
  <si>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</si>
  <si>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</si>
  <si>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</si>
  <si>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</si>
  <si>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</si>
  <si>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</si>
  <si>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</si>
  <si>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</si>
  <si>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</si>
  <si>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</si>
  <si>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</si>
  <si>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</si>
  <si>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</si>
  <si>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</si>
  <si>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</si>
  <si>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</si>
  <si>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</si>
  <si>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</si>
  <si>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</si>
  <si>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</si>
  <si>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</si>
  <si>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</si>
  <si>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</si>
  <si>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</si>
  <si>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</si>
  <si>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</si>
  <si>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</si>
  <si>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</si>
  <si>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</si>
  <si>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</si>
  <si>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</si>
  <si>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</si>
  <si>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</si>
  <si>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</si>
  <si>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</si>
  <si>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</si>
  <si>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</si>
  <si>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</si>
  <si>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</si>
  <si>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</si>
  <si>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</si>
  <si>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</si>
  <si>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</si>
  <si>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</si>
  <si>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</si>
  <si>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</si>
  <si>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</si>
  <si>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</si>
  <si>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</si>
  <si>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</si>
  <si>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</si>
  <si>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</si>
  <si>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</si>
  <si>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</si>
  <si>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</si>
  <si>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</si>
  <si>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</si>
  <si>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</si>
  <si>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</si>
  <si>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</si>
  <si>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</si>
  <si>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</si>
  <si>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</si>
  <si>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</si>
  <si>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</si>
  <si>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</si>
  <si>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</si>
  <si>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</si>
  <si>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</si>
  <si>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</si>
  <si>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</si>
  <si>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</si>
  <si>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</si>
  <si>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</si>
  <si>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</si>
  <si>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</si>
  <si>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</si>
  <si>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</si>
  <si>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</si>
  <si>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</si>
  <si>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</si>
  <si>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</si>
  <si>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</si>
  <si>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</si>
  <si>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</si>
  <si>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</si>
  <si>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</si>
  <si>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</si>
  <si>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</si>
  <si>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</si>
  <si>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</si>
  <si>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</si>
  <si>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</si>
  <si>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</si>
  <si>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</si>
  <si>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</si>
  <si>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</si>
  <si>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</si>
  <si>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</si>
  <si>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</si>
  <si>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</si>
  <si>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</si>
  <si>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</si>
  <si>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</si>
  <si>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</si>
  <si>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</si>
  <si>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</si>
  <si>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</si>
  <si>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</si>
  <si>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</si>
  <si>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</si>
  <si>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</si>
  <si>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</si>
  <si>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</si>
  <si>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</si>
  <si>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</si>
  <si>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</si>
  <si>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</si>
  <si>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</si>
  <si>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</si>
  <si>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</si>
  <si>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</si>
  <si>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</si>
  <si>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</si>
  <si>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</si>
  <si>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</si>
  <si>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</si>
  <si>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</si>
  <si>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</si>
  <si>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</si>
  <si>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</si>
  <si>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</si>
  <si>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</si>
  <si>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</si>
  <si>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</si>
  <si>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</si>
  <si>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</si>
  <si>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</si>
  <si>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</si>
  <si>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</si>
  <si>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</si>
  <si>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</si>
  <si>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</si>
  <si>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</si>
  <si>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</si>
  <si>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</si>
  <si>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</si>
  <si>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</si>
  <si>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</si>
  <si>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</si>
  <si>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</si>
  <si>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</si>
  <si>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</si>
  <si>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</si>
  <si>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</si>
  <si>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</si>
  <si>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</si>
  <si>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</si>
  <si>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</si>
  <si>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</si>
  <si>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</si>
  <si>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</si>
  <si>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</si>
  <si>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</si>
  <si>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</si>
  <si>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</si>
  <si>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</si>
  <si>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</si>
  <si>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</si>
  <si>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</si>
  <si>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</si>
  <si>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</si>
  <si>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</si>
  <si>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</si>
  <si>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</si>
  <si>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</si>
  <si>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</si>
  <si>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</si>
  <si>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</si>
  <si>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</si>
  <si>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</si>
  <si>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</si>
  <si>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</si>
  <si>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</si>
  <si>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</si>
  <si>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</si>
  <si>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</si>
  <si>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</si>
  <si>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</si>
  <si>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</si>
  <si>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</si>
  <si>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</si>
  <si>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</si>
  <si>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</si>
  <si>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</si>
  <si>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</si>
  <si>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</si>
  <si>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</si>
  <si>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</si>
  <si>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</si>
  <si>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</si>
  <si>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</si>
  <si>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</si>
  <si>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</si>
  <si>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</si>
  <si>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</si>
  <si>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</si>
  <si>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</si>
  <si>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</si>
  <si>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</si>
  <si>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</si>
  <si>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</si>
  <si>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</si>
  <si>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</si>
  <si>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</si>
  <si>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</si>
  <si>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</si>
  <si>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</si>
  <si>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</si>
  <si>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</si>
  <si>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</si>
  <si>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</si>
  <si>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</si>
  <si>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</si>
  <si>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</si>
  <si>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</si>
  <si>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</si>
  <si>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</si>
  <si>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</si>
  <si>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</si>
  <si>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</si>
  <si>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</si>
  <si>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</si>
  <si>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</si>
  <si>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</si>
  <si>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</si>
  <si>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</si>
  <si>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</si>
  <si>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</si>
  <si>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</si>
  <si>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</si>
  <si>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</si>
  <si>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</si>
  <si>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</si>
  <si>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</si>
  <si>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</si>
  <si>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</si>
  <si>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</si>
  <si>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</si>
  <si>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</si>
  <si>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</si>
  <si>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</si>
  <si>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</si>
  <si>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</si>
  <si>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</si>
  <si>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</si>
  <si>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</si>
  <si>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</si>
  <si>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</si>
  <si>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</si>
  <si>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</si>
  <si>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</si>
  <si>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</si>
  <si>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</si>
  <si>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</si>
  <si>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</si>
  <si>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</si>
  <si>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</si>
  <si>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</si>
  <si>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</si>
  <si>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</si>
  <si>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</si>
  <si>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</si>
  <si>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</si>
  <si>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</si>
  <si>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</si>
  <si>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</si>
  <si>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</si>
  <si>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</si>
  <si>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</si>
  <si>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</si>
  <si>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</si>
  <si>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</si>
  <si>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</si>
  <si>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</si>
  <si>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</si>
  <si>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</si>
  <si>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</si>
  <si>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</si>
  <si>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</si>
  <si>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</si>
  <si>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</si>
  <si>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</si>
  <si>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</si>
  <si>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</si>
  <si>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</si>
  <si>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</si>
  <si>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</si>
  <si>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</si>
  <si>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</si>
  <si>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</si>
  <si>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</si>
  <si>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</si>
  <si>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</si>
  <si>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</si>
  <si>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</si>
  <si>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</si>
  <si>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</si>
  <si>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</si>
  <si>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</si>
  <si>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</si>
  <si>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</si>
  <si>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</si>
  <si>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</si>
  <si>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</si>
  <si>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</si>
  <si>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</si>
  <si>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</si>
  <si>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</si>
  <si>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</si>
  <si>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</si>
  <si>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</si>
  <si>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</si>
  <si>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</si>
  <si>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</si>
  <si>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</si>
  <si>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</si>
  <si>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</si>
  <si>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</si>
  <si>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</si>
  <si>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</si>
  <si>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</si>
  <si>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</si>
  <si>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</si>
  <si>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</si>
  <si>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</si>
  <si>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</si>
  <si>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</si>
  <si>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</si>
  <si>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</si>
  <si>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</si>
  <si>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</si>
  <si>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</si>
  <si>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</si>
  <si>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</si>
  <si>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</si>
  <si>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</si>
  <si>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</si>
  <si>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</si>
  <si>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</si>
  <si>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</si>
  <si>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</si>
  <si>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</si>
  <si>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</si>
  <si>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</si>
  <si>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</si>
  <si>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</si>
  <si>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</si>
  <si>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</si>
  <si>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</si>
  <si>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</si>
  <si>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</si>
  <si>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</si>
  <si>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</si>
  <si>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</si>
  <si>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</si>
  <si>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</si>
  <si>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</si>
  <si>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</si>
  <si>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</si>
  <si>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</si>
  <si>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</si>
  <si>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</si>
  <si>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</si>
  <si>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</si>
  <si>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</si>
  <si>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</si>
  <si>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</si>
  <si>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</si>
  <si>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</si>
  <si>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</si>
  <si>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</si>
  <si>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</si>
  <si>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</si>
  <si>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</si>
  <si>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</si>
  <si>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</si>
  <si>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</si>
  <si>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</si>
  <si>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</si>
  <si>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</si>
  <si>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</si>
  <si>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</si>
  <si>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</si>
  <si>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</si>
  <si>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</si>
  <si>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</si>
  <si>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</si>
  <si>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</si>
  <si>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</si>
  <si>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</si>
  <si>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</si>
  <si>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</si>
  <si>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</si>
  <si>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</si>
  <si>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</si>
  <si>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</si>
  <si>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</si>
  <si>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</si>
  <si>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</si>
  <si>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</si>
  <si>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</si>
  <si>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</si>
  <si>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</si>
  <si>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</si>
  <si>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</si>
  <si>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</si>
  <si>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</si>
  <si>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</si>
  <si>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</si>
  <si>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</si>
  <si>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</si>
  <si>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</si>
  <si>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</si>
  <si>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</si>
  <si>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</si>
  <si>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</si>
  <si>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</si>
  <si>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</si>
  <si>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</si>
  <si>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</si>
  <si>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</si>
  <si>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</si>
  <si>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</si>
  <si>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</si>
  <si>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</si>
  <si>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</si>
  <si>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</si>
  <si>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</si>
  <si>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</si>
  <si>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</si>
  <si>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</si>
  <si>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</si>
  <si>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</si>
  <si>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</si>
  <si>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</si>
  <si>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</si>
  <si>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</si>
  <si>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</si>
  <si>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</si>
  <si>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</si>
  <si>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</si>
  <si>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</si>
  <si>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</si>
  <si>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</si>
  <si>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</si>
  <si>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</si>
  <si>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</si>
  <si>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</si>
  <si>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</si>
  <si>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</si>
  <si>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</si>
  <si>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</si>
  <si>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</si>
  <si>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</si>
  <si>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</si>
  <si>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</si>
  <si>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</si>
  <si>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</si>
  <si>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</si>
  <si>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</si>
  <si>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</si>
  <si>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</si>
  <si>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</si>
  <si>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</si>
  <si>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</si>
  <si>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</si>
  <si>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</si>
  <si>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</si>
  <si>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</si>
  <si>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</si>
  <si>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</si>
  <si>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</si>
  <si>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</si>
  <si>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</si>
  <si>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</si>
  <si>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</si>
  <si>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</si>
  <si>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</si>
  <si>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</si>
  <si>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</si>
  <si>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</si>
  <si>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</si>
  <si>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</si>
  <si>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</si>
  <si>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</si>
  <si>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</si>
  <si>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</si>
  <si>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</si>
  <si>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</si>
  <si>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</si>
  <si>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</si>
  <si>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</si>
  <si>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</si>
  <si>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</si>
  <si>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</si>
  <si>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</si>
  <si>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</si>
  <si>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</si>
  <si>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</si>
  <si>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</si>
  <si>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</si>
  <si>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</si>
  <si>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</si>
  <si>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</si>
  <si>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</si>
  <si>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</si>
  <si>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</si>
  <si>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</si>
  <si>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</si>
  <si>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</si>
  <si>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</si>
  <si>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</si>
  <si>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</si>
  <si>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</si>
  <si>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</si>
  <si>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</si>
  <si>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</si>
  <si>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</si>
  <si>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</si>
  <si>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</si>
  <si>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</si>
  <si>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</si>
  <si>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</si>
  <si>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</si>
  <si>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</si>
  <si>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</si>
  <si>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</si>
  <si>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</si>
  <si>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</si>
  <si>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</si>
  <si>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</si>
  <si>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</si>
  <si>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</si>
  <si>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</si>
  <si>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</si>
  <si>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</si>
  <si>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</si>
  <si>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</si>
  <si>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</si>
  <si>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</si>
  <si>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</si>
  <si>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</si>
  <si>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</si>
  <si>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</si>
  <si>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</si>
  <si>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</si>
  <si>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</si>
  <si>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</si>
  <si>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</si>
  <si>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</si>
  <si>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</si>
  <si>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</si>
  <si>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</si>
  <si>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</si>
  <si>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</si>
  <si>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</si>
  <si>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</si>
  <si>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</si>
  <si>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</si>
  <si>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</si>
  <si>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</si>
  <si>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</si>
  <si>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</si>
  <si>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</si>
  <si>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</si>
  <si>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</si>
  <si>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</si>
  <si>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</si>
  <si>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</si>
  <si>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</si>
  <si>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</si>
  <si>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</si>
  <si>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</si>
  <si>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</si>
  <si>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</si>
  <si>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</si>
  <si>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</si>
  <si>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</si>
  <si>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</si>
  <si>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</si>
  <si>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</si>
  <si>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</si>
  <si>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</si>
  <si>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</si>
  <si>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</si>
  <si>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</si>
  <si>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</si>
  <si>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</si>
  <si>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</si>
  <si>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</si>
  <si>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</si>
  <si>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</si>
  <si>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</si>
  <si>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</si>
  <si>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</si>
  <si>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</si>
  <si>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</si>
  <si>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</si>
  <si>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</si>
  <si>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</si>
  <si>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</si>
  <si>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</si>
  <si>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</si>
  <si>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</si>
  <si>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</si>
  <si>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</si>
  <si>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</si>
  <si>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</si>
  <si>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</si>
  <si>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</si>
  <si>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</si>
  <si>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</si>
  <si>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</si>
  <si>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</si>
  <si>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</si>
  <si>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</si>
  <si>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</si>
  <si>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</si>
  <si>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</si>
  <si>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</si>
  <si>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</si>
  <si>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</si>
  <si>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</si>
  <si>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</si>
  <si>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</si>
  <si>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</si>
  <si>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</si>
  <si>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</si>
  <si>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</si>
  <si>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</si>
  <si>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</si>
  <si>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</si>
  <si>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</si>
  <si>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</si>
  <si>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</si>
  <si>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</si>
  <si>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</si>
  <si>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</si>
  <si>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</si>
  <si>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</si>
  <si>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</si>
  <si>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</si>
  <si>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</si>
  <si>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</si>
  <si>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</si>
  <si>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</si>
  <si>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</si>
  <si>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</si>
  <si>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</si>
  <si>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</si>
  <si>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</si>
  <si>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</si>
  <si>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</si>
  <si>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</si>
  <si>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</si>
  <si>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</si>
  <si>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</si>
  <si>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</si>
  <si>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</si>
  <si>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</si>
  <si>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</si>
  <si>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</si>
  <si>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</si>
  <si>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</si>
  <si>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</si>
  <si>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</si>
  <si>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</si>
  <si>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</si>
  <si>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</si>
  <si>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</si>
  <si>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</si>
  <si>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</si>
  <si>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</si>
  <si>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</si>
  <si>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</si>
  <si>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</si>
  <si>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</si>
  <si>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</si>
  <si>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</si>
  <si>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</si>
  <si>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</si>
  <si>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</si>
  <si>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</si>
  <si>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</si>
  <si>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</si>
  <si>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</si>
  <si>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</si>
  <si>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</si>
  <si>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</si>
  <si>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</si>
  <si>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</si>
  <si>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</si>
  <si>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</si>
  <si>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</si>
  <si>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</si>
  <si>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</si>
  <si>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</si>
  <si>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</si>
  <si>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</si>
  <si>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</si>
  <si>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</si>
  <si>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</si>
  <si>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</si>
  <si>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</si>
  <si>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</si>
  <si>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</si>
  <si>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</si>
  <si>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</si>
  <si>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</si>
  <si>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</si>
  <si>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</si>
  <si>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</si>
  <si>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</si>
  <si>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</si>
  <si>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</si>
  <si>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</si>
  <si>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</si>
  <si>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</si>
  <si>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</si>
  <si>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</si>
  <si>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</si>
  <si>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</si>
  <si>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</si>
  <si>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</si>
  <si>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</si>
  <si>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</si>
  <si>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</si>
  <si>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</si>
  <si>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</si>
  <si>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</si>
  <si>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</si>
  <si>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</si>
  <si>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</si>
  <si>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</si>
  <si>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</si>
  <si>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</si>
  <si>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</si>
  <si>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</si>
  <si>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</si>
  <si>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</si>
  <si>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</si>
  <si>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</si>
  <si>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</si>
  <si>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</si>
  <si>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</si>
  <si>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</si>
  <si>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</si>
  <si>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</si>
  <si>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</si>
  <si>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</si>
  <si>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</si>
  <si>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</si>
  <si>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</si>
  <si>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</si>
  <si>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</si>
  <si>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</si>
  <si>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</si>
  <si>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</si>
  <si>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</si>
  <si>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</si>
  <si>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</si>
  <si>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</si>
  <si>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</si>
  <si>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</si>
  <si>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</si>
  <si>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</si>
  <si>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</si>
  <si>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</si>
  <si>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</si>
  <si>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</si>
  <si>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</si>
  <si>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</si>
  <si>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</si>
  <si>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</si>
  <si>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</si>
  <si>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</si>
  <si>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</si>
  <si>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</si>
  <si>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</si>
  <si>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</si>
  <si>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</si>
  <si>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</si>
  <si>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</si>
  <si>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</si>
  <si>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</si>
  <si>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</si>
  <si>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</si>
  <si>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</si>
  <si>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</si>
  <si>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</si>
  <si>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</si>
  <si>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</si>
  <si>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</si>
  <si>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</si>
  <si>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</si>
  <si>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</si>
  <si>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</si>
  <si>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</si>
  <si>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</si>
  <si>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</si>
  <si>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</si>
  <si>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</si>
  <si>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</si>
  <si>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</si>
  <si>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</si>
  <si>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</si>
  <si>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</si>
  <si>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</si>
  <si>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</si>
  <si>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</si>
  <si>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</si>
  <si>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</si>
  <si>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</si>
  <si>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</si>
  <si>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</si>
  <si>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</si>
  <si>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</si>
  <si>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</si>
  <si>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</si>
  <si>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</si>
  <si>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</si>
  <si>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</si>
  <si>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</si>
  <si>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</si>
  <si>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</si>
  <si>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</si>
  <si>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</si>
  <si>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</si>
  <si>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</si>
  <si>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</si>
  <si>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</si>
  <si>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</si>
  <si>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</si>
  <si>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</si>
  <si>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</si>
  <si>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</si>
  <si>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</si>
  <si>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</si>
  <si>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</si>
  <si>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</si>
  <si>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</si>
  <si>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</si>
  <si>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</si>
  <si>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</si>
  <si>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</si>
  <si>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</si>
  <si>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</si>
  <si>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</si>
  <si>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</si>
  <si>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</si>
  <si>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</si>
  <si>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</si>
  <si>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</si>
  <si>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</si>
  <si>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</si>
  <si>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</si>
  <si>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</si>
  <si>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</si>
  <si>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</si>
  <si>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</si>
  <si>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</si>
  <si>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</si>
  <si>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</si>
  <si>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</si>
  <si>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</si>
  <si>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</si>
  <si>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</si>
  <si>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</si>
  <si>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</si>
  <si>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</si>
  <si>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</si>
  <si>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</si>
  <si>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</si>
  <si>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</si>
  <si>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</si>
  <si>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</si>
  <si>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</si>
  <si>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</si>
  <si>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</si>
  <si>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</si>
  <si>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</si>
  <si>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</si>
  <si>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</si>
  <si>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</si>
  <si>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</si>
  <si>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</si>
  <si>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</si>
  <si>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</si>
  <si>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</si>
  <si>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</si>
  <si>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</si>
  <si>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</si>
  <si>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</si>
  <si>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</si>
  <si>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</si>
  <si>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</si>
  <si>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</si>
  <si>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</si>
  <si>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</si>
  <si>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</si>
  <si>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</si>
  <si>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</si>
  <si>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</si>
  <si>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</si>
  <si>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</si>
  <si>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</si>
  <si>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</si>
  <si>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</si>
  <si>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</si>
  <si>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</si>
  <si>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</si>
  <si>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</si>
  <si>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</si>
  <si>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</si>
  <si>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</si>
  <si>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</si>
  <si>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</si>
  <si>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</si>
  <si>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</si>
  <si>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</si>
  <si>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</si>
  <si>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</si>
  <si>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</si>
  <si>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</si>
  <si>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</si>
  <si>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</si>
  <si>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</si>
  <si>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</si>
  <si>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</si>
  <si>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</si>
  <si>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</si>
  <si>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</si>
  <si>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</si>
  <si>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</si>
  <si>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</si>
  <si>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</si>
  <si>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</si>
  <si>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</si>
  <si>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</si>
  <si>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</si>
  <si>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</si>
  <si>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</si>
  <si>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</si>
  <si>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</si>
  <si>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</si>
  <si>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</si>
  <si>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</si>
  <si>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</si>
  <si>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</si>
  <si>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</si>
  <si>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</si>
  <si>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</si>
  <si>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</si>
  <si>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</si>
  <si>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</si>
  <si>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</si>
  <si>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</si>
  <si>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</si>
  <si>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</si>
  <si>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</si>
  <si>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</si>
  <si>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</si>
  <si>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</si>
  <si>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</si>
  <si>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</si>
  <si>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</si>
  <si>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</si>
  <si>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</si>
  <si>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</si>
  <si>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</si>
  <si>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</si>
  <si>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</si>
  <si>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</si>
  <si>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</si>
  <si>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</si>
  <si>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</si>
  <si>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</si>
  <si>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</si>
  <si>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</si>
  <si>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</si>
  <si>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</si>
  <si>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</si>
  <si>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</si>
  <si>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</si>
  <si>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</si>
  <si>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</si>
  <si>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</si>
  <si>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</si>
  <si>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</si>
  <si>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</si>
  <si>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</si>
  <si>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</si>
  <si>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</si>
  <si>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</si>
  <si>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</si>
  <si>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</si>
  <si>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</si>
  <si>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</si>
  <si>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</si>
  <si>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</si>
  <si>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</si>
  <si>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</si>
  <si>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</si>
  <si>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</si>
  <si>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</si>
  <si>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</si>
  <si>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</si>
  <si>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</si>
  <si>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</si>
  <si>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</si>
  <si>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</si>
  <si>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</si>
  <si>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</si>
  <si>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</si>
  <si>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</si>
  <si>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</si>
  <si>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</si>
  <si>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</si>
  <si>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</si>
  <si>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</si>
  <si>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</si>
  <si>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</si>
  <si>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</si>
  <si>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</si>
  <si>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</si>
  <si>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</si>
  <si>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</si>
  <si>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</si>
  <si>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</si>
  <si>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</si>
  <si>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</si>
  <si>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</si>
  <si>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</si>
  <si>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</si>
  <si>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</si>
  <si>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</si>
  <si>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</si>
  <si>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</si>
  <si>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</si>
  <si>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</si>
  <si>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</si>
  <si>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</si>
  <si>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</si>
  <si>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</si>
  <si>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</si>
  <si>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</si>
  <si>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</si>
  <si>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</si>
  <si>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</si>
  <si>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</si>
  <si>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</si>
  <si>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</si>
  <si>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</si>
  <si>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</si>
  <si>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</si>
  <si>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</si>
  <si>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</si>
  <si>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</si>
  <si>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</si>
  <si>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</si>
  <si>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</si>
  <si>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</si>
  <si>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</si>
  <si>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</si>
  <si>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</si>
  <si>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</si>
  <si>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</si>
  <si>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</si>
  <si>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</si>
  <si>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</si>
  <si>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</si>
  <si>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</si>
  <si>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</si>
  <si>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</si>
  <si>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</si>
  <si>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</si>
  <si>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</si>
  <si>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</si>
  <si>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</si>
  <si>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</si>
  <si>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</si>
  <si>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</si>
  <si>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</si>
  <si>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</si>
  <si>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</si>
  <si>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</si>
  <si>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</si>
  <si>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</si>
  <si>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</si>
  <si>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</si>
  <si>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</si>
  <si>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</si>
  <si>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</si>
  <si>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</si>
  <si>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</si>
  <si>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</si>
  <si>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</si>
  <si>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</si>
  <si>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</si>
  <si>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</si>
  <si>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</si>
  <si>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</si>
  <si>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</si>
  <si>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</si>
  <si>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</si>
  <si>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</si>
  <si>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</si>
  <si>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</si>
  <si>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</si>
  <si>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</si>
  <si>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</si>
  <si>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</si>
  <si>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</si>
  <si>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</si>
  <si>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</si>
  <si>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</si>
  <si>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</si>
  <si>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</si>
  <si>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</si>
  <si>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</si>
  <si>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Description 12 Sept</t>
  </si>
  <si>
    <t>TabFIFO updated: 2025-09-12 22:50:26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</si>
</sst>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35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TSLA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ID!$T$20:$T$25</c:f>
              <c:numCache>
                <c:formatCode>#,##0.00</c:formatCode>
                <c:ptCount val="6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</c:numCache>
            </c:numRef>
          </c:cat>
          <c:val>
            <c:numRef>
              <c:f>ID!$U$20:$U$25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TSLA: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45908</c:v>
                </c:pt>
                <c:pt idx="1">
                  <c:v>45909</c:v>
                </c:pt>
                <c:pt idx="2">
                  <c:v>45910</c:v>
                </c:pt>
                <c:pt idx="3">
                  <c:v>45911</c:v>
                </c:pt>
                <c:pt idx="4">
                  <c:v>45912</c:v>
                </c:pt>
                <c:pt idx="5">
                  <c:v>45912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346.4</c:v>
                </c:pt>
                <c:pt idx="1">
                  <c:v>346.97</c:v>
                </c:pt>
                <c:pt idx="2">
                  <c:v>347.79</c:v>
                </c:pt>
                <c:pt idx="3">
                  <c:v>368.41</c:v>
                </c:pt>
                <c:pt idx="4">
                  <c:v>395.94</c:v>
                </c:pt>
                <c:pt idx="5">
                  <c:v>395.94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45908</c:v>
                </c:pt>
                <c:pt idx="1">
                  <c:v>45909</c:v>
                </c:pt>
                <c:pt idx="2">
                  <c:v>45910</c:v>
                </c:pt>
                <c:pt idx="3">
                  <c:v>45911</c:v>
                </c:pt>
                <c:pt idx="4">
                  <c:v>45912</c:v>
                </c:pt>
                <c:pt idx="5">
                  <c:v>45912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336.51</c:v>
                </c:pt>
                <c:pt idx="3">
                  <c:v>336.51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0.97617822324539094</c:v>
                </c:pt>
                <c:pt idx="1">
                  <c:v>0.7031178048124791</c:v>
                </c:pt>
                <c:pt idx="2">
                  <c:v>0.9554427290289188</c:v>
                </c:pt>
                <c:pt idx="3">
                  <c:v>1.26028979718001</c:v>
                </c:pt>
                <c:pt idx="4">
                  <c:v>2.1738133239969519</c:v>
                </c:pt>
                <c:pt idx="5">
                  <c:v>2.1738133239969519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TSLA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331.375</c:v>
                </c:pt>
                <c:pt idx="1">
                  <c:v>395.94</c:v>
                </c:pt>
                <c:pt idx="2">
                  <c:v>395.94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-51.349999999999909</c:v>
                </c:pt>
                <c:pt idx="1">
                  <c:v>-32.049999999999841</c:v>
                </c:pt>
                <c:pt idx="2">
                  <c:v>112.8000000000003</c:v>
                </c:pt>
                <c:pt idx="3">
                  <c:v>319.00000000000034</c:v>
                </c:pt>
                <c:pt idx="4">
                  <c:v>594.30000000000007</c:v>
                </c:pt>
                <c:pt idx="5">
                  <c:v>594.30000000000007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996.45000000000266</c:v>
                </c:pt>
                <c:pt idx="1">
                  <c:v>243.75</c:v>
                </c:pt>
                <c:pt idx="2">
                  <c:v>-5405.4000000000051</c:v>
                </c:pt>
                <c:pt idx="3">
                  <c:v>-13447.200000000008</c:v>
                </c:pt>
                <c:pt idx="4">
                  <c:v>-24183.899999999998</c:v>
                </c:pt>
                <c:pt idx="5">
                  <c:v>-24183.899999999998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TSLA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29</c:v>
                </c:pt>
                <c:pt idx="1">
                  <c:v>20</c:v>
                </c:pt>
                <c:pt idx="2">
                  <c:v>20</c:v>
                </c:pt>
                <c:pt idx="3">
                  <c:v>23</c:v>
                </c:pt>
                <c:pt idx="4">
                  <c:v>35</c:v>
                </c:pt>
                <c:pt idx="5">
                  <c:v>35</c:v>
                </c:pt>
                <c:pt idx="6">
                  <c:v>33</c:v>
                </c:pt>
                <c:pt idx="7">
                  <c:v>34</c:v>
                </c:pt>
                <c:pt idx="8">
                  <c:v>46</c:v>
                </c:pt>
                <c:pt idx="9">
                  <c:v>57</c:v>
                </c:pt>
                <c:pt idx="1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333.93</c:v>
                </c:pt>
                <c:pt idx="10">
                  <c:v>395.94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62.7</c:v>
                </c:pt>
                <c:pt idx="1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68.399999999999991</c:v>
                </c:pt>
                <c:pt idx="1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79.8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584900F-F7DF-DA4D-965C-33B21AD326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E4E709-AAF6-C147-A3E9-56C8459E81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3E2746-6801-0444-B69B-D4913FDBD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230A65-C5C4-1945-AA22-9F5ACBA84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834C3A-4A6C-7A4A-9795-F5C6E565D7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CAAA17-A4FC-584B-8297-B07BB640CD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1D27EE-5FB2-1445-8F29-982EFC915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066326-5791-8A40-8008-1CAC391ED7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D1F237-1265-F54E-AB8A-73FD2C0CC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6F2903-B423-224A-83BC-48BDCE757C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221040-461C-1B4D-A67E-413D73522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0.9991306160313761</c:v>
                </c:pt>
                <c:pt idx="1">
                  <c:v>0.36897335033493123</c:v>
                </c:pt>
                <c:pt idx="2">
                  <c:v>0.24539054309634209</c:v>
                </c:pt>
                <c:pt idx="3">
                  <c:v>4.1444529686984494E-3</c:v>
                </c:pt>
                <c:pt idx="4">
                  <c:v>3.9287558171379536E-2</c:v>
                </c:pt>
                <c:pt idx="5">
                  <c:v>0.97617822324539094</c:v>
                </c:pt>
                <c:pt idx="6">
                  <c:v>0.7031178048124791</c:v>
                </c:pt>
                <c:pt idx="7">
                  <c:v>0.9554427290289188</c:v>
                </c:pt>
                <c:pt idx="8">
                  <c:v>1.26028979718001</c:v>
                </c:pt>
                <c:pt idx="9">
                  <c:v>2.1738133239969519</c:v>
                </c:pt>
                <c:pt idx="10">
                  <c:v>2.1738133239969519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TSLA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43</c:v>
                </c:pt>
                <c:pt idx="1">
                  <c:v>33</c:v>
                </c:pt>
                <c:pt idx="2">
                  <c:v>33</c:v>
                </c:pt>
                <c:pt idx="3">
                  <c:v>34</c:v>
                </c:pt>
                <c:pt idx="4">
                  <c:v>27</c:v>
                </c:pt>
                <c:pt idx="5">
                  <c:v>26</c:v>
                </c:pt>
                <c:pt idx="6">
                  <c:v>31</c:v>
                </c:pt>
                <c:pt idx="7">
                  <c:v>33</c:v>
                </c:pt>
                <c:pt idx="8">
                  <c:v>32</c:v>
                </c:pt>
                <c:pt idx="9">
                  <c:v>40</c:v>
                </c:pt>
                <c:pt idx="10">
                  <c:v>29</c:v>
                </c:pt>
                <c:pt idx="11">
                  <c:v>20</c:v>
                </c:pt>
                <c:pt idx="12">
                  <c:v>20</c:v>
                </c:pt>
                <c:pt idx="13">
                  <c:v>23</c:v>
                </c:pt>
                <c:pt idx="14">
                  <c:v>35</c:v>
                </c:pt>
                <c:pt idx="15">
                  <c:v>35</c:v>
                </c:pt>
                <c:pt idx="16">
                  <c:v>33</c:v>
                </c:pt>
                <c:pt idx="17">
                  <c:v>34</c:v>
                </c:pt>
                <c:pt idx="18">
                  <c:v>46</c:v>
                </c:pt>
                <c:pt idx="19">
                  <c:v>57</c:v>
                </c:pt>
                <c:pt idx="2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74.100000000000009</c:v>
                </c:pt>
                <c:pt idx="10" formatCode="0">
                  <c:v>74.100000000000009</c:v>
                </c:pt>
                <c:pt idx="2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74.100000000000009</c:v>
                </c:pt>
                <c:pt idx="10" formatCode="0">
                  <c:v>74.100000000000009</c:v>
                </c:pt>
                <c:pt idx="2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79.8</c:v>
                </c:pt>
                <c:pt idx="10" formatCode="0">
                  <c:v>79.8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68.399999999999991</c:v>
                </c:pt>
                <c:pt idx="10" formatCode="0">
                  <c:v>68.399999999999991</c:v>
                </c:pt>
                <c:pt idx="2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62.7</c:v>
                </c:pt>
                <c:pt idx="10" formatCode="0">
                  <c:v>62.7</c:v>
                </c:pt>
                <c:pt idx="2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172.548</c:v>
                </c:pt>
                <c:pt idx="10">
                  <c:v>172.548</c:v>
                </c:pt>
                <c:pt idx="20">
                  <c:v>172.548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68.399999999999991</c:v>
                </c:pt>
                <c:pt idx="10" formatCode="0">
                  <c:v>68.399999999999991</c:v>
                </c:pt>
                <c:pt idx="2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79.8</c:v>
                </c:pt>
                <c:pt idx="10" formatCode="0">
                  <c:v>79.8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0.49999370198102205</c:v>
                </c:pt>
                <c:pt idx="1">
                  <c:v>0.30147803038804016</c:v>
                </c:pt>
                <c:pt idx="2">
                  <c:v>0.21638315919577167</c:v>
                </c:pt>
                <c:pt idx="3">
                  <c:v>0.76111692611176185</c:v>
                </c:pt>
                <c:pt idx="4">
                  <c:v>0.76111692611176185</c:v>
                </c:pt>
                <c:pt idx="5">
                  <c:v>0.88403540596762187</c:v>
                </c:pt>
                <c:pt idx="6">
                  <c:v>1.0056229380432118</c:v>
                </c:pt>
                <c:pt idx="7">
                  <c:v>0.88053641169041941</c:v>
                </c:pt>
                <c:pt idx="8">
                  <c:v>0.75208057444416843</c:v>
                </c:pt>
                <c:pt idx="9">
                  <c:v>0.32547684271386296</c:v>
                </c:pt>
                <c:pt idx="10">
                  <c:v>0.9991306160313761</c:v>
                </c:pt>
                <c:pt idx="11">
                  <c:v>0.36897335033493123</c:v>
                </c:pt>
                <c:pt idx="12">
                  <c:v>0.24539054309634209</c:v>
                </c:pt>
                <c:pt idx="13">
                  <c:v>4.1444529686984494E-3</c:v>
                </c:pt>
                <c:pt idx="14">
                  <c:v>3.9287558171379536E-2</c:v>
                </c:pt>
                <c:pt idx="15">
                  <c:v>0.97617822324539094</c:v>
                </c:pt>
                <c:pt idx="16">
                  <c:v>0.7031178048124791</c:v>
                </c:pt>
                <c:pt idx="17">
                  <c:v>0.9554427290289188</c:v>
                </c:pt>
                <c:pt idx="18">
                  <c:v>1.26028979718001</c:v>
                </c:pt>
                <c:pt idx="19">
                  <c:v>2.1738133239969519</c:v>
                </c:pt>
                <c:pt idx="20">
                  <c:v>2.1738133239969519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401.4649"/>
          <c:min val="170.822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TSLA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333.93</c:v>
                </c:pt>
                <c:pt idx="10">
                  <c:v>395.94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62.7</c:v>
                </c:pt>
                <c:pt idx="1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68.399999999999991</c:v>
                </c:pt>
                <c:pt idx="1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79.8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29</c:v>
                </c:pt>
                <c:pt idx="1">
                  <c:v>20</c:v>
                </c:pt>
                <c:pt idx="2">
                  <c:v>20</c:v>
                </c:pt>
                <c:pt idx="3">
                  <c:v>23</c:v>
                </c:pt>
                <c:pt idx="4">
                  <c:v>35</c:v>
                </c:pt>
                <c:pt idx="5">
                  <c:v>35</c:v>
                </c:pt>
                <c:pt idx="6">
                  <c:v>33</c:v>
                </c:pt>
                <c:pt idx="7">
                  <c:v>34</c:v>
                </c:pt>
                <c:pt idx="8">
                  <c:v>46</c:v>
                </c:pt>
                <c:pt idx="9">
                  <c:v>57</c:v>
                </c:pt>
                <c:pt idx="1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A3BF35-A11E-844F-AE5F-EEAB47563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0FE583-AA3F-7A45-85E1-49578FEB2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FE04B-2579-7148-8394-BA89EF4D4F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7B7E77-6D95-B44C-9193-A6A7353DC6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6F7414-473F-9B48-9A20-9250264A5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B9F9AB-B1C8-7F48-8DA6-DFA610B11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089714-D6BA-9949-9C5F-53CA3BA8E7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42E16F-F64F-9A46-B1E1-6B71D7CC8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C6BEBA-CC1A-D84C-A8BC-2026B900D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534F49-5299-314A-9C75-B2CB32649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27F97-3905-C243-B95A-4CE4FA4164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0.9991306160313761</c:v>
                </c:pt>
                <c:pt idx="1">
                  <c:v>0.36897335033493123</c:v>
                </c:pt>
                <c:pt idx="2">
                  <c:v>0.24539054309634209</c:v>
                </c:pt>
                <c:pt idx="3">
                  <c:v>4.1444529686984494E-3</c:v>
                </c:pt>
                <c:pt idx="4">
                  <c:v>3.9287558171379536E-2</c:v>
                </c:pt>
                <c:pt idx="5">
                  <c:v>0.97617822324539094</c:v>
                </c:pt>
                <c:pt idx="6">
                  <c:v>0.7031178048124791</c:v>
                </c:pt>
                <c:pt idx="7">
                  <c:v>0.9554427290289188</c:v>
                </c:pt>
                <c:pt idx="8">
                  <c:v>1.26028979718001</c:v>
                </c:pt>
                <c:pt idx="9">
                  <c:v>2.1738133239969519</c:v>
                </c:pt>
                <c:pt idx="10">
                  <c:v>2.1738133239969519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TSLA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-142.74683595927189</c:v>
                </c:pt>
                <c:pt idx="1">
                  <c:v>-74.962276206141851</c:v>
                </c:pt>
                <c:pt idx="2">
                  <c:v>36.528867198651461</c:v>
                </c:pt>
                <c:pt idx="3">
                  <c:v>58.567719307785374</c:v>
                </c:pt>
                <c:pt idx="4">
                  <c:v>54.199915716208316</c:v>
                </c:pt>
                <c:pt idx="5">
                  <c:v>-51.610228245945549</c:v>
                </c:pt>
                <c:pt idx="6">
                  <c:v>6.7087179347752217</c:v>
                </c:pt>
                <c:pt idx="7">
                  <c:v>9.6368999877652577</c:v>
                </c:pt>
                <c:pt idx="8">
                  <c:v>241.79524476284988</c:v>
                </c:pt>
                <c:pt idx="9">
                  <c:v>300.00000000000006</c:v>
                </c:pt>
                <c:pt idx="1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330.00000000000011</c:v>
                </c:pt>
                <c:pt idx="1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F4362C-FDBE-9A46-B1FD-C5DC3DDEFF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B22998-BF60-8B45-A7D5-0002EBCD1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172F24-BBEF-3B42-88B0-16562982D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2E117D-66C4-C54F-B44F-C66320DE9F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4281C4-A8AD-A140-9833-C16564F20C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499021-9D2B-AD47-A32C-929CDB327E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04DC01-16DC-2F44-AEDF-A72B92E368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3F58D1-887C-AC4F-9FC8-D5C463FBD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A5657D-5A4B-FC4A-A7CD-605AE59372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F889B1-7BB6-6248-9B33-6CA65DB06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2FE974-2B05-AD4B-9E51-C51834086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40.747024212478465</c:v>
                </c:pt>
                <c:pt idx="1">
                  <c:v>15.047648223988169</c:v>
                </c:pt>
                <c:pt idx="2">
                  <c:v>10.007634878387003</c:v>
                </c:pt>
                <c:pt idx="3">
                  <c:v>0.16902106967136593</c:v>
                </c:pt>
                <c:pt idx="4">
                  <c:v>1.6022440493486849</c:v>
                </c:pt>
                <c:pt idx="5">
                  <c:v>39.810968716251452</c:v>
                </c:pt>
                <c:pt idx="6">
                  <c:v>28.674887704591256</c:v>
                </c:pt>
                <c:pt idx="7">
                  <c:v>38.965323841257685</c:v>
                </c:pt>
                <c:pt idx="8">
                  <c:v>51.397743254442304</c:v>
                </c:pt>
                <c:pt idx="9">
                  <c:v>88.653498076302071</c:v>
                </c:pt>
                <c:pt idx="10">
                  <c:v>88.653498076302071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40.782479846657878</c:v>
                </c:pt>
                <c:pt idx="1">
                  <c:v>40.782479846657878</c:v>
                </c:pt>
                <c:pt idx="2">
                  <c:v>40.782479846657878</c:v>
                </c:pt>
                <c:pt idx="3">
                  <c:v>40.782479846657878</c:v>
                </c:pt>
                <c:pt idx="4">
                  <c:v>40.782479846657878</c:v>
                </c:pt>
                <c:pt idx="5">
                  <c:v>40.782479846657878</c:v>
                </c:pt>
                <c:pt idx="6">
                  <c:v>40.782479846657878</c:v>
                </c:pt>
                <c:pt idx="7">
                  <c:v>40.782479846657878</c:v>
                </c:pt>
                <c:pt idx="8">
                  <c:v>40.782479846657878</c:v>
                </c:pt>
                <c:pt idx="9">
                  <c:v>40.782479846657878</c:v>
                </c:pt>
                <c:pt idx="10">
                  <c:v>40.782479846657878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TSLA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-96.193635214311925</c:v>
                </c:pt>
                <c:pt idx="1">
                  <c:v>-27.646443088049374</c:v>
                </c:pt>
                <c:pt idx="2">
                  <c:v>26.96537567461019</c:v>
                </c:pt>
                <c:pt idx="3">
                  <c:v>-65.423254170008576</c:v>
                </c:pt>
                <c:pt idx="4">
                  <c:v>-65.423254170008576</c:v>
                </c:pt>
                <c:pt idx="5">
                  <c:v>-66.997457892089571</c:v>
                </c:pt>
                <c:pt idx="6">
                  <c:v>79.044602438792296</c:v>
                </c:pt>
                <c:pt idx="7">
                  <c:v>59.656611519691147</c:v>
                </c:pt>
                <c:pt idx="8">
                  <c:v>-24.004567637742827</c:v>
                </c:pt>
                <c:pt idx="9">
                  <c:v>-53.918516605266383</c:v>
                </c:pt>
                <c:pt idx="10">
                  <c:v>-142.74683595927189</c:v>
                </c:pt>
                <c:pt idx="11">
                  <c:v>-74.962276206141851</c:v>
                </c:pt>
                <c:pt idx="12">
                  <c:v>36.528867198651461</c:v>
                </c:pt>
                <c:pt idx="13">
                  <c:v>58.567719307785374</c:v>
                </c:pt>
                <c:pt idx="14">
                  <c:v>54.199915716208316</c:v>
                </c:pt>
                <c:pt idx="15">
                  <c:v>-51.610228245945549</c:v>
                </c:pt>
                <c:pt idx="16">
                  <c:v>6.7087179347752217</c:v>
                </c:pt>
                <c:pt idx="17">
                  <c:v>9.6368999877652577</c:v>
                </c:pt>
                <c:pt idx="18">
                  <c:v>241.79524476284988</c:v>
                </c:pt>
                <c:pt idx="19">
                  <c:v>300.00000000000006</c:v>
                </c:pt>
                <c:pt idx="2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20.390983074496898</c:v>
                </c:pt>
                <c:pt idx="1">
                  <c:v>122.34743953997364</c:v>
                </c:pt>
                <c:pt idx="2">
                  <c:v>8.8246418290577218</c:v>
                </c:pt>
                <c:pt idx="3">
                  <c:v>31.040235700103121</c:v>
                </c:pt>
                <c:pt idx="4">
                  <c:v>31.040235700103121</c:v>
                </c:pt>
                <c:pt idx="5">
                  <c:v>36.053156127606556</c:v>
                </c:pt>
                <c:pt idx="6">
                  <c:v>41.011797204084168</c:v>
                </c:pt>
                <c:pt idx="7">
                  <c:v>35.910458464012976</c:v>
                </c:pt>
                <c:pt idx="8">
                  <c:v>30.671710870332181</c:v>
                </c:pt>
                <c:pt idx="9">
                  <c:v>13.273752778531952</c:v>
                </c:pt>
                <c:pt idx="10">
                  <c:v>40.747024212478465</c:v>
                </c:pt>
                <c:pt idx="11">
                  <c:v>15.047648223988169</c:v>
                </c:pt>
                <c:pt idx="12">
                  <c:v>10.007634878387003</c:v>
                </c:pt>
                <c:pt idx="13">
                  <c:v>0.16902106967136593</c:v>
                </c:pt>
                <c:pt idx="14">
                  <c:v>1.6022440493486849</c:v>
                </c:pt>
                <c:pt idx="15">
                  <c:v>39.810968716251452</c:v>
                </c:pt>
                <c:pt idx="16">
                  <c:v>28.674887704591256</c:v>
                </c:pt>
                <c:pt idx="17">
                  <c:v>38.965323841257685</c:v>
                </c:pt>
                <c:pt idx="18">
                  <c:v>51.397743254442304</c:v>
                </c:pt>
                <c:pt idx="19">
                  <c:v>88.653498076302071</c:v>
                </c:pt>
                <c:pt idx="20">
                  <c:v>88.653498076302071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172.548</c:v>
                </c:pt>
                <c:pt idx="10">
                  <c:v>172.548</c:v>
                </c:pt>
                <c:pt idx="20">
                  <c:v>172.548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401.4649"/>
          <c:min val="170.822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-96.193635214311925</c:v>
                </c:pt>
                <c:pt idx="1">
                  <c:v>-27.646443088049374</c:v>
                </c:pt>
                <c:pt idx="2">
                  <c:v>26.96537567461019</c:v>
                </c:pt>
                <c:pt idx="3">
                  <c:v>-65.423254170008576</c:v>
                </c:pt>
                <c:pt idx="4">
                  <c:v>-65.423254170008576</c:v>
                </c:pt>
                <c:pt idx="5">
                  <c:v>-66.997457892089571</c:v>
                </c:pt>
                <c:pt idx="6">
                  <c:v>79.044602438792296</c:v>
                </c:pt>
                <c:pt idx="7">
                  <c:v>59.656611519691147</c:v>
                </c:pt>
                <c:pt idx="8">
                  <c:v>-24.004567637742827</c:v>
                </c:pt>
                <c:pt idx="9">
                  <c:v>-53.918516605266383</c:v>
                </c:pt>
                <c:pt idx="10">
                  <c:v>-142.74683595927189</c:v>
                </c:pt>
                <c:pt idx="11">
                  <c:v>-74.962276206141851</c:v>
                </c:pt>
                <c:pt idx="12">
                  <c:v>36.528867198651461</c:v>
                </c:pt>
                <c:pt idx="13">
                  <c:v>58.567719307785374</c:v>
                </c:pt>
                <c:pt idx="14">
                  <c:v>54.199915716208316</c:v>
                </c:pt>
                <c:pt idx="15">
                  <c:v>-51.610228245945549</c:v>
                </c:pt>
                <c:pt idx="16">
                  <c:v>6.7087179347752217</c:v>
                </c:pt>
                <c:pt idx="17">
                  <c:v>9.6368999877652577</c:v>
                </c:pt>
                <c:pt idx="18">
                  <c:v>241.79524476284988</c:v>
                </c:pt>
                <c:pt idx="19">
                  <c:v>300.00000000000006</c:v>
                </c:pt>
                <c:pt idx="2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20.390983074496898</c:v>
                </c:pt>
                <c:pt idx="1">
                  <c:v>122.34743953997364</c:v>
                </c:pt>
                <c:pt idx="2">
                  <c:v>8.8246418290577218</c:v>
                </c:pt>
                <c:pt idx="3">
                  <c:v>31.040235700103121</c:v>
                </c:pt>
                <c:pt idx="4">
                  <c:v>31.040235700103121</c:v>
                </c:pt>
                <c:pt idx="5">
                  <c:v>36.053156127606556</c:v>
                </c:pt>
                <c:pt idx="6">
                  <c:v>41.011797204084168</c:v>
                </c:pt>
                <c:pt idx="7">
                  <c:v>35.910458464012976</c:v>
                </c:pt>
                <c:pt idx="8">
                  <c:v>30.671710870332181</c:v>
                </c:pt>
                <c:pt idx="9">
                  <c:v>13.273752778531952</c:v>
                </c:pt>
                <c:pt idx="10">
                  <c:v>40.747024212478465</c:v>
                </c:pt>
                <c:pt idx="11">
                  <c:v>15.047648223988169</c:v>
                </c:pt>
                <c:pt idx="12">
                  <c:v>10.007634878387003</c:v>
                </c:pt>
                <c:pt idx="13">
                  <c:v>0.16902106967136593</c:v>
                </c:pt>
                <c:pt idx="14">
                  <c:v>1.6022440493486849</c:v>
                </c:pt>
                <c:pt idx="15">
                  <c:v>39.810968716251452</c:v>
                </c:pt>
                <c:pt idx="16">
                  <c:v>28.674887704591256</c:v>
                </c:pt>
                <c:pt idx="17">
                  <c:v>38.965323841257685</c:v>
                </c:pt>
                <c:pt idx="18">
                  <c:v>51.397743254442304</c:v>
                </c:pt>
                <c:pt idx="19">
                  <c:v>88.653498076302071</c:v>
                </c:pt>
                <c:pt idx="20">
                  <c:v>88.653498076302071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336.51</c:v>
                </c:pt>
                <c:pt idx="10" formatCode="0.00">
                  <c:v>336.51</c:v>
                </c:pt>
                <c:pt idx="20" formatCode="0.00">
                  <c:v>336.51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401.4649"/>
          <c:min val="174.7745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336.51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10 x A=336.51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10 x A=336.51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10 x A=336.51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45912.856691006251</v>
          </cell>
        </row>
        <row r="3">
          <cell r="A3" t="str">
            <v>AAPL</v>
          </cell>
          <cell r="D3" t="str">
            <v>USD</v>
          </cell>
          <cell r="E3">
            <v>45912.856644582811</v>
          </cell>
          <cell r="F3">
            <v>230.03</v>
          </cell>
          <cell r="G3">
            <v>229.22</v>
          </cell>
          <cell r="H3">
            <v>234.07</v>
          </cell>
          <cell r="I3">
            <v>229.02</v>
          </cell>
          <cell r="J3">
            <v>234.51</v>
          </cell>
          <cell r="K3">
            <v>31.726800000000001</v>
          </cell>
          <cell r="L3">
            <v>4.04</v>
          </cell>
          <cell r="M3">
            <v>1.7562999999999999E-2</v>
          </cell>
          <cell r="N3">
            <v>169.21010000000001</v>
          </cell>
          <cell r="O3">
            <v>260.10000000000002</v>
          </cell>
          <cell r="P3">
            <v>55248262</v>
          </cell>
          <cell r="Q3">
            <v>53913175</v>
          </cell>
          <cell r="R3">
            <v>1.0819000000000001</v>
          </cell>
        </row>
        <row r="4">
          <cell r="A4" t="str">
            <v>ADEA</v>
          </cell>
          <cell r="D4" t="str">
            <v>USD</v>
          </cell>
          <cell r="E4">
            <v>45912.840320728908</v>
          </cell>
          <cell r="F4">
            <v>15.66</v>
          </cell>
          <cell r="G4">
            <v>15.68</v>
          </cell>
          <cell r="H4">
            <v>15.65</v>
          </cell>
          <cell r="I4">
            <v>15.4</v>
          </cell>
          <cell r="J4">
            <v>15.79</v>
          </cell>
          <cell r="K4">
            <v>21.105899999999998</v>
          </cell>
          <cell r="L4">
            <v>-0.01</v>
          </cell>
          <cell r="M4">
            <v>-6.3860000000000002E-4</v>
          </cell>
          <cell r="N4">
            <v>10.59</v>
          </cell>
          <cell r="O4">
            <v>17.46</v>
          </cell>
          <cell r="P4">
            <v>529104</v>
          </cell>
          <cell r="Q4">
            <v>493280</v>
          </cell>
          <cell r="R4">
            <v>2.5303</v>
          </cell>
        </row>
        <row r="5">
          <cell r="A5" t="str">
            <v>AET</v>
          </cell>
          <cell r="D5" t="str">
            <v>GBp</v>
          </cell>
          <cell r="E5">
            <v>45912.649582835154</v>
          </cell>
          <cell r="F5">
            <v>51.2</v>
          </cell>
          <cell r="G5">
            <v>49.6</v>
          </cell>
          <cell r="H5">
            <v>51.4</v>
          </cell>
          <cell r="I5">
            <v>49.6</v>
          </cell>
          <cell r="J5">
            <v>52.8</v>
          </cell>
          <cell r="K5">
            <v>4.4618000000000002</v>
          </cell>
          <cell r="L5">
            <v>0.2</v>
          </cell>
          <cell r="M5">
            <v>3.9060000000000002E-3</v>
          </cell>
          <cell r="N5">
            <v>33.064999999999998</v>
          </cell>
          <cell r="O5">
            <v>56.2</v>
          </cell>
          <cell r="P5">
            <v>696360</v>
          </cell>
          <cell r="Q5">
            <v>1141210</v>
          </cell>
          <cell r="R5">
            <v>1.1531</v>
          </cell>
        </row>
        <row r="6">
          <cell r="A6" t="str">
            <v>AMZN</v>
          </cell>
          <cell r="D6" t="str">
            <v>USD</v>
          </cell>
          <cell r="E6">
            <v>45912.856605867972</v>
          </cell>
          <cell r="F6">
            <v>229.95</v>
          </cell>
          <cell r="G6">
            <v>230.35</v>
          </cell>
          <cell r="H6">
            <v>228.15</v>
          </cell>
          <cell r="I6">
            <v>226.29</v>
          </cell>
          <cell r="J6">
            <v>230.79</v>
          </cell>
          <cell r="K6">
            <v>34.815100000000001</v>
          </cell>
          <cell r="L6">
            <v>-1.8</v>
          </cell>
          <cell r="M6">
            <v>-7.8279999999999999E-3</v>
          </cell>
          <cell r="N6">
            <v>161.38</v>
          </cell>
          <cell r="O6">
            <v>242.52</v>
          </cell>
          <cell r="P6">
            <v>38335202</v>
          </cell>
          <cell r="Q6">
            <v>35792217</v>
          </cell>
          <cell r="R6">
            <v>1.2957000000000001</v>
          </cell>
        </row>
        <row r="7">
          <cell r="A7" t="str">
            <v>ALDNE</v>
          </cell>
          <cell r="D7" t="str">
            <v>EUR</v>
          </cell>
          <cell r="E7">
            <v>45912.666666666664</v>
          </cell>
          <cell r="F7">
            <v>0.88800000000000001</v>
          </cell>
          <cell r="G7">
            <v>0.88800000000000001</v>
          </cell>
          <cell r="H7">
            <v>0.89</v>
          </cell>
          <cell r="I7">
            <v>0.88800000000000001</v>
          </cell>
          <cell r="J7">
            <v>0.89</v>
          </cell>
          <cell r="K7">
            <v>0</v>
          </cell>
          <cell r="L7">
            <v>2E-3</v>
          </cell>
          <cell r="M7">
            <v>2.2520000000000001E-3</v>
          </cell>
          <cell r="N7">
            <v>0.65</v>
          </cell>
          <cell r="O7">
            <v>1.91</v>
          </cell>
          <cell r="P7">
            <v>117</v>
          </cell>
          <cell r="Q7">
            <v>5220</v>
          </cell>
          <cell r="R7">
            <v>0.99399999999999999</v>
          </cell>
        </row>
        <row r="8">
          <cell r="A8" t="str">
            <v>ASML</v>
          </cell>
          <cell r="D8" t="str">
            <v>EUR</v>
          </cell>
          <cell r="E8">
            <v>45912.666666666664</v>
          </cell>
          <cell r="F8">
            <v>686</v>
          </cell>
          <cell r="G8">
            <v>688</v>
          </cell>
          <cell r="H8">
            <v>689.8</v>
          </cell>
          <cell r="I8">
            <v>681.5</v>
          </cell>
          <cell r="J8">
            <v>692.1</v>
          </cell>
          <cell r="K8">
            <v>26.485800000000001</v>
          </cell>
          <cell r="L8">
            <v>3.8</v>
          </cell>
          <cell r="M8">
            <v>5.5389999999999997E-3</v>
          </cell>
          <cell r="N8">
            <v>508.4</v>
          </cell>
          <cell r="O8">
            <v>804.6</v>
          </cell>
          <cell r="P8">
            <v>440502</v>
          </cell>
          <cell r="Q8">
            <v>556550</v>
          </cell>
          <cell r="R8">
            <v>1.8632</v>
          </cell>
        </row>
        <row r="9">
          <cell r="A9" t="str">
            <v>AZN</v>
          </cell>
          <cell r="D9" t="str">
            <v>USD</v>
          </cell>
          <cell r="E9">
            <v>45912.855489224217</v>
          </cell>
          <cell r="F9">
            <v>81.099999999999994</v>
          </cell>
          <cell r="G9">
            <v>80.819999999999993</v>
          </cell>
          <cell r="H9">
            <v>79.56</v>
          </cell>
          <cell r="I9">
            <v>79.08</v>
          </cell>
          <cell r="J9">
            <v>81.16</v>
          </cell>
          <cell r="K9">
            <v>29.953700000000001</v>
          </cell>
          <cell r="L9">
            <v>-1.54</v>
          </cell>
          <cell r="M9">
            <v>-1.8988999999999999E-2</v>
          </cell>
          <cell r="N9">
            <v>61.24</v>
          </cell>
          <cell r="O9">
            <v>82.41</v>
          </cell>
          <cell r="P9">
            <v>4491003</v>
          </cell>
          <cell r="Q9">
            <v>3515797</v>
          </cell>
          <cell r="R9">
            <v>0.37990000000000002</v>
          </cell>
        </row>
        <row r="10">
          <cell r="A10" t="str">
            <v>BLDP</v>
          </cell>
          <cell r="D10" t="str">
            <v>USD</v>
          </cell>
          <cell r="E10">
            <v>45912.856385832813</v>
          </cell>
          <cell r="F10">
            <v>2.0499999999999998</v>
          </cell>
          <cell r="G10">
            <v>2.02</v>
          </cell>
          <cell r="H10">
            <v>2.0699999999999998</v>
          </cell>
          <cell r="I10">
            <v>1.9750000000000001</v>
          </cell>
          <cell r="J10">
            <v>2.08</v>
          </cell>
          <cell r="K10">
            <v>0</v>
          </cell>
          <cell r="L10">
            <v>0.02</v>
          </cell>
          <cell r="M10">
            <v>9.7560000000000008E-3</v>
          </cell>
          <cell r="N10">
            <v>1</v>
          </cell>
          <cell r="O10">
            <v>2.2799999999999998</v>
          </cell>
          <cell r="P10">
            <v>3912073</v>
          </cell>
          <cell r="Q10">
            <v>3885888</v>
          </cell>
          <cell r="R10">
            <v>1.7826</v>
          </cell>
        </row>
        <row r="11">
          <cell r="A11" t="str">
            <v>BMRA</v>
          </cell>
          <cell r="D11" t="str">
            <v>USD</v>
          </cell>
          <cell r="E11">
            <v>45912.856250693752</v>
          </cell>
          <cell r="F11">
            <v>2.95</v>
          </cell>
          <cell r="G11">
            <v>3</v>
          </cell>
          <cell r="H11">
            <v>2.98</v>
          </cell>
          <cell r="I11">
            <v>2.9512</v>
          </cell>
          <cell r="J11">
            <v>3.03</v>
          </cell>
          <cell r="K11">
            <v>0</v>
          </cell>
          <cell r="L11">
            <v>0.03</v>
          </cell>
          <cell r="M11">
            <v>1.0168999999999999E-2</v>
          </cell>
          <cell r="N11">
            <v>2.08</v>
          </cell>
          <cell r="O11">
            <v>10.16</v>
          </cell>
          <cell r="P11">
            <v>20360</v>
          </cell>
          <cell r="Q11">
            <v>1968839</v>
          </cell>
          <cell r="R11">
            <v>0.34739999999999999</v>
          </cell>
        </row>
        <row r="12">
          <cell r="A12" t="str">
            <v>C</v>
          </cell>
          <cell r="D12" t="str">
            <v>USD</v>
          </cell>
          <cell r="E12">
            <v>45912.855562210156</v>
          </cell>
          <cell r="F12">
            <v>98.82</v>
          </cell>
          <cell r="G12">
            <v>98.78</v>
          </cell>
          <cell r="H12">
            <v>99.48</v>
          </cell>
          <cell r="I12">
            <v>98.44</v>
          </cell>
          <cell r="J12">
            <v>99.7</v>
          </cell>
          <cell r="K12">
            <v>14.706200000000001</v>
          </cell>
          <cell r="L12">
            <v>0.66</v>
          </cell>
          <cell r="M12">
            <v>6.6790000000000009E-3</v>
          </cell>
          <cell r="N12">
            <v>55.51</v>
          </cell>
          <cell r="O12">
            <v>99.7</v>
          </cell>
          <cell r="P12">
            <v>9263879</v>
          </cell>
          <cell r="Q12">
            <v>13396526</v>
          </cell>
          <cell r="R12">
            <v>1.357</v>
          </cell>
        </row>
        <row r="13">
          <cell r="A13" t="str">
            <v>CSCO</v>
          </cell>
          <cell r="D13" t="str">
            <v>USD</v>
          </cell>
          <cell r="E13">
            <v>45912.855756203127</v>
          </cell>
          <cell r="F13">
            <v>67.69</v>
          </cell>
          <cell r="G13">
            <v>66.88</v>
          </cell>
          <cell r="H13">
            <v>66.53</v>
          </cell>
          <cell r="I13">
            <v>66.13</v>
          </cell>
          <cell r="J13">
            <v>67.34</v>
          </cell>
          <cell r="K13">
            <v>28.1251</v>
          </cell>
          <cell r="L13">
            <v>-1.1599999999999999</v>
          </cell>
          <cell r="M13">
            <v>-1.7136999999999999E-2</v>
          </cell>
          <cell r="N13">
            <v>48.86</v>
          </cell>
          <cell r="O13">
            <v>72.55</v>
          </cell>
          <cell r="P13">
            <v>18347350</v>
          </cell>
          <cell r="Q13">
            <v>20720517</v>
          </cell>
          <cell r="R13">
            <v>0.97219999999999995</v>
          </cell>
        </row>
        <row r="14">
          <cell r="A14" t="str">
            <v>CVS</v>
          </cell>
          <cell r="D14" t="str">
            <v>USD</v>
          </cell>
          <cell r="E14">
            <v>45912.855159050778</v>
          </cell>
          <cell r="F14">
            <v>74.67</v>
          </cell>
          <cell r="G14">
            <v>74.42</v>
          </cell>
          <cell r="H14">
            <v>74.989999999999995</v>
          </cell>
          <cell r="I14">
            <v>74.415000000000006</v>
          </cell>
          <cell r="J14">
            <v>75.55</v>
          </cell>
          <cell r="K14">
            <v>20.9282</v>
          </cell>
          <cell r="L14">
            <v>0.32</v>
          </cell>
          <cell r="M14">
            <v>4.2859999999999999E-3</v>
          </cell>
          <cell r="N14">
            <v>43.56</v>
          </cell>
          <cell r="O14">
            <v>75.55</v>
          </cell>
          <cell r="P14">
            <v>6400653</v>
          </cell>
          <cell r="Q14">
            <v>6841102</v>
          </cell>
          <cell r="R14">
            <v>0.60870000000000002</v>
          </cell>
        </row>
        <row r="15">
          <cell r="A15" t="str">
            <v>DDD</v>
          </cell>
          <cell r="D15" t="str">
            <v>USD</v>
          </cell>
          <cell r="E15">
            <v>45912.85209288125</v>
          </cell>
          <cell r="F15">
            <v>2.25</v>
          </cell>
          <cell r="G15">
            <v>2.27</v>
          </cell>
          <cell r="H15">
            <v>2.2250000000000001</v>
          </cell>
          <cell r="I15">
            <v>2.2000000000000002</v>
          </cell>
          <cell r="J15">
            <v>2.3199999999999998</v>
          </cell>
          <cell r="K15">
            <v>99</v>
          </cell>
          <cell r="L15">
            <v>-2.5000000000000001E-2</v>
          </cell>
          <cell r="M15">
            <v>-1.1110999999999999E-2</v>
          </cell>
          <cell r="N15">
            <v>1.32</v>
          </cell>
          <cell r="O15">
            <v>4.9991000000000003</v>
          </cell>
          <cell r="P15">
            <v>1941002</v>
          </cell>
          <cell r="Q15">
            <v>4691479</v>
          </cell>
          <cell r="R15">
            <v>2.0779999999999998</v>
          </cell>
        </row>
        <row r="16">
          <cell r="A16" t="str">
            <v>DIS</v>
          </cell>
          <cell r="D16" t="str">
            <v>USD</v>
          </cell>
          <cell r="E16">
            <v>45912.855752546093</v>
          </cell>
          <cell r="F16">
            <v>117.08</v>
          </cell>
          <cell r="G16">
            <v>116.26</v>
          </cell>
          <cell r="H16">
            <v>115.97</v>
          </cell>
          <cell r="I16">
            <v>115.1</v>
          </cell>
          <cell r="J16">
            <v>117.01</v>
          </cell>
          <cell r="K16">
            <v>18.181699999999999</v>
          </cell>
          <cell r="L16">
            <v>-1.1100000000000001</v>
          </cell>
          <cell r="M16">
            <v>-9.4809999999999998E-3</v>
          </cell>
          <cell r="N16">
            <v>80.099999999999994</v>
          </cell>
          <cell r="O16">
            <v>124.69</v>
          </cell>
          <cell r="P16">
            <v>7636351</v>
          </cell>
          <cell r="Q16">
            <v>7033153</v>
          </cell>
          <cell r="R16">
            <v>1.5537000000000001</v>
          </cell>
        </row>
        <row r="17">
          <cell r="A17" t="str">
            <v>DSY</v>
          </cell>
          <cell r="D17" t="str">
            <v>EUR</v>
          </cell>
          <cell r="E17">
            <v>45912.666666666664</v>
          </cell>
          <cell r="F17">
            <v>27.29</v>
          </cell>
          <cell r="G17">
            <v>27.37</v>
          </cell>
          <cell r="H17">
            <v>27.56</v>
          </cell>
          <cell r="I17">
            <v>27.07</v>
          </cell>
          <cell r="J17">
            <v>27.76</v>
          </cell>
          <cell r="K17">
            <v>31.667200000000001</v>
          </cell>
          <cell r="L17">
            <v>0.27</v>
          </cell>
          <cell r="M17">
            <v>9.894E-3</v>
          </cell>
          <cell r="N17">
            <v>26.25</v>
          </cell>
          <cell r="O17">
            <v>41.17</v>
          </cell>
          <cell r="P17">
            <v>1486445</v>
          </cell>
          <cell r="Q17">
            <v>1768220</v>
          </cell>
          <cell r="R17">
            <v>0.68569999999999998</v>
          </cell>
        </row>
        <row r="18">
          <cell r="A18" t="str">
            <v>DVA</v>
          </cell>
          <cell r="D18" t="str">
            <v>USD</v>
          </cell>
          <cell r="E18">
            <v>45912.847226793747</v>
          </cell>
          <cell r="F18">
            <v>133.24</v>
          </cell>
          <cell r="G18">
            <v>133</v>
          </cell>
          <cell r="H18">
            <v>133.09</v>
          </cell>
          <cell r="I18">
            <v>132.08000000000001</v>
          </cell>
          <cell r="J18">
            <v>133.94</v>
          </cell>
          <cell r="K18">
            <v>13.077400000000001</v>
          </cell>
          <cell r="L18">
            <v>-0.15</v>
          </cell>
          <cell r="M18">
            <v>-1.126E-3</v>
          </cell>
          <cell r="N18">
            <v>126.07</v>
          </cell>
          <cell r="O18">
            <v>179.6</v>
          </cell>
          <cell r="P18">
            <v>481493</v>
          </cell>
          <cell r="Q18">
            <v>737762</v>
          </cell>
          <cell r="R18">
            <v>1.135</v>
          </cell>
        </row>
        <row r="19">
          <cell r="A19" t="str">
            <v>DXC</v>
          </cell>
          <cell r="D19" t="str">
            <v>USD</v>
          </cell>
          <cell r="E19">
            <v>45912.852418390627</v>
          </cell>
          <cell r="F19">
            <v>14.55</v>
          </cell>
          <cell r="G19">
            <v>14.43</v>
          </cell>
          <cell r="H19">
            <v>14.03</v>
          </cell>
          <cell r="I19">
            <v>14.02</v>
          </cell>
          <cell r="J19">
            <v>14.54</v>
          </cell>
          <cell r="K19">
            <v>6.8506</v>
          </cell>
          <cell r="L19">
            <v>-0.52</v>
          </cell>
          <cell r="M19">
            <v>-3.5739E-2</v>
          </cell>
          <cell r="N19">
            <v>12.24</v>
          </cell>
          <cell r="O19">
            <v>24.83</v>
          </cell>
          <cell r="P19">
            <v>1656835</v>
          </cell>
          <cell r="Q19">
            <v>1586907</v>
          </cell>
          <cell r="R19">
            <v>1.1418999999999999</v>
          </cell>
        </row>
        <row r="20">
          <cell r="A20" t="str">
            <v>EOAN</v>
          </cell>
          <cell r="D20" t="str">
            <v>EUR</v>
          </cell>
          <cell r="E20">
            <v>45912.770833333336</v>
          </cell>
          <cell r="F20">
            <v>15.295</v>
          </cell>
          <cell r="G20">
            <v>15.35</v>
          </cell>
          <cell r="H20">
            <v>15.525</v>
          </cell>
          <cell r="I20">
            <v>15.33</v>
          </cell>
          <cell r="J20">
            <v>15.6</v>
          </cell>
          <cell r="K20">
            <v>12.857100000000001</v>
          </cell>
          <cell r="L20">
            <v>0.23</v>
          </cell>
          <cell r="M20">
            <v>1.5038000000000001E-2</v>
          </cell>
          <cell r="N20">
            <v>10.435</v>
          </cell>
          <cell r="O20">
            <v>16.55</v>
          </cell>
          <cell r="P20">
            <v>5059905</v>
          </cell>
          <cell r="Q20">
            <v>3992280</v>
          </cell>
          <cell r="R20">
            <v>0.71130000000000004</v>
          </cell>
        </row>
        <row r="21">
          <cell r="A21" t="str">
            <v>EPIX</v>
          </cell>
          <cell r="D21" t="str">
            <v>USD</v>
          </cell>
          <cell r="E21">
            <v>45912.854553390622</v>
          </cell>
          <cell r="F21">
            <v>0.20549999999999999</v>
          </cell>
          <cell r="G21">
            <v>0.21099999999999999</v>
          </cell>
          <cell r="H21">
            <v>0.2029</v>
          </cell>
          <cell r="I21">
            <v>0.2016</v>
          </cell>
          <cell r="J21">
            <v>0.21099999999999999</v>
          </cell>
          <cell r="K21">
            <v>0</v>
          </cell>
          <cell r="L21">
            <v>-2.5999999999999999E-3</v>
          </cell>
          <cell r="M21">
            <v>-1.2652000000000002E-2</v>
          </cell>
          <cell r="N21">
            <v>0.17330000000000001</v>
          </cell>
          <cell r="O21">
            <v>0.97570000000000001</v>
          </cell>
          <cell r="P21">
            <v>1666067</v>
          </cell>
          <cell r="Q21">
            <v>14556431</v>
          </cell>
          <cell r="R21">
            <v>1.6119000000000001</v>
          </cell>
        </row>
        <row r="22">
          <cell r="A22" t="str">
            <v>GM</v>
          </cell>
          <cell r="D22" t="str">
            <v>USD</v>
          </cell>
          <cell r="E22">
            <v>45912.855596388283</v>
          </cell>
          <cell r="F22">
            <v>58.71</v>
          </cell>
          <cell r="G22">
            <v>59.85</v>
          </cell>
          <cell r="H22">
            <v>58.505000000000003</v>
          </cell>
          <cell r="I22">
            <v>58.475000000000001</v>
          </cell>
          <cell r="J22">
            <v>60</v>
          </cell>
          <cell r="K22">
            <v>8.4329999999999998</v>
          </cell>
          <cell r="L22">
            <v>-0.20499999999999999</v>
          </cell>
          <cell r="M22">
            <v>-3.4920000000000003E-3</v>
          </cell>
          <cell r="N22">
            <v>41.6</v>
          </cell>
          <cell r="O22">
            <v>61.24</v>
          </cell>
          <cell r="P22">
            <v>12018282</v>
          </cell>
          <cell r="Q22">
            <v>6407525</v>
          </cell>
          <cell r="R22">
            <v>1.3363</v>
          </cell>
        </row>
        <row r="23">
          <cell r="A23" t="str">
            <v>HPE</v>
          </cell>
          <cell r="D23" t="str">
            <v>USD</v>
          </cell>
          <cell r="E23">
            <v>45912.856579258594</v>
          </cell>
          <cell r="F23">
            <v>24.86</v>
          </cell>
          <cell r="G23">
            <v>24.855</v>
          </cell>
          <cell r="H23">
            <v>24.734999999999999</v>
          </cell>
          <cell r="I23">
            <v>24.73</v>
          </cell>
          <cell r="J23">
            <v>25.1</v>
          </cell>
          <cell r="K23">
            <v>29.668900000000001</v>
          </cell>
          <cell r="L23">
            <v>-0.125</v>
          </cell>
          <cell r="M23">
            <v>-5.0280000000000004E-3</v>
          </cell>
          <cell r="N23">
            <v>11.965</v>
          </cell>
          <cell r="O23">
            <v>25.1</v>
          </cell>
          <cell r="P23">
            <v>20681716</v>
          </cell>
          <cell r="Q23">
            <v>20505196</v>
          </cell>
          <cell r="R23">
            <v>1.4553</v>
          </cell>
        </row>
        <row r="24">
          <cell r="A24" t="str">
            <v>HPQ</v>
          </cell>
          <cell r="D24" t="str">
            <v>USD</v>
          </cell>
          <cell r="E24">
            <v>45912.855575103909</v>
          </cell>
          <cell r="F24">
            <v>28.34</v>
          </cell>
          <cell r="G24">
            <v>28.24</v>
          </cell>
          <cell r="H24">
            <v>27.954999999999998</v>
          </cell>
          <cell r="I24">
            <v>27.93</v>
          </cell>
          <cell r="J24">
            <v>28.484999999999999</v>
          </cell>
          <cell r="K24">
            <v>10.1836</v>
          </cell>
          <cell r="L24">
            <v>-0.38500000000000001</v>
          </cell>
          <cell r="M24">
            <v>-1.3585E-2</v>
          </cell>
          <cell r="N24">
            <v>21.21</v>
          </cell>
          <cell r="O24">
            <v>39.795000000000002</v>
          </cell>
          <cell r="P24">
            <v>8097871</v>
          </cell>
          <cell r="Q24">
            <v>9189413</v>
          </cell>
          <cell r="R24">
            <v>1.3144</v>
          </cell>
        </row>
        <row r="25">
          <cell r="A25" t="str">
            <v>IAG</v>
          </cell>
          <cell r="D25" t="str">
            <v>GBp</v>
          </cell>
          <cell r="E25">
            <v>45912.644570450779</v>
          </cell>
          <cell r="F25">
            <v>382.3</v>
          </cell>
          <cell r="G25">
            <v>384.6</v>
          </cell>
          <cell r="H25">
            <v>382</v>
          </cell>
          <cell r="I25">
            <v>379.3</v>
          </cell>
          <cell r="J25">
            <v>386.8</v>
          </cell>
          <cell r="K25">
            <v>6.8887999999999998</v>
          </cell>
          <cell r="L25">
            <v>-0.3</v>
          </cell>
          <cell r="M25">
            <v>-7.8469999999999994E-4</v>
          </cell>
          <cell r="N25">
            <v>187</v>
          </cell>
          <cell r="O25">
            <v>398.7</v>
          </cell>
          <cell r="P25">
            <v>11153264</v>
          </cell>
          <cell r="Q25">
            <v>14227630</v>
          </cell>
          <cell r="R25">
            <v>2.8010999999999999</v>
          </cell>
        </row>
        <row r="26">
          <cell r="A26" t="str">
            <v>KR</v>
          </cell>
          <cell r="D26" t="str">
            <v>USD</v>
          </cell>
          <cell r="E26">
            <v>45912.85568359922</v>
          </cell>
          <cell r="F26">
            <v>67.23</v>
          </cell>
          <cell r="G26">
            <v>67.38</v>
          </cell>
          <cell r="H26">
            <v>68.290000000000006</v>
          </cell>
          <cell r="I26">
            <v>67.150000000000006</v>
          </cell>
          <cell r="J26">
            <v>68.98</v>
          </cell>
          <cell r="K26">
            <v>18.578299999999999</v>
          </cell>
          <cell r="L26">
            <v>1.06</v>
          </cell>
          <cell r="M26">
            <v>1.5767E-2</v>
          </cell>
          <cell r="N26">
            <v>51.52</v>
          </cell>
          <cell r="O26">
            <v>74.900000000000006</v>
          </cell>
          <cell r="P26">
            <v>8120506</v>
          </cell>
          <cell r="Q26">
            <v>7193621</v>
          </cell>
          <cell r="R26">
            <v>0.57110000000000005</v>
          </cell>
        </row>
        <row r="27">
          <cell r="A27" t="str">
            <v>LNSR</v>
          </cell>
          <cell r="D27" t="str">
            <v>USD</v>
          </cell>
          <cell r="E27">
            <v>45912.840322615622</v>
          </cell>
          <cell r="F27">
            <v>12.13</v>
          </cell>
          <cell r="G27">
            <v>12.15</v>
          </cell>
          <cell r="H27">
            <v>12.47</v>
          </cell>
          <cell r="I27">
            <v>12.09</v>
          </cell>
          <cell r="J27">
            <v>12.6</v>
          </cell>
          <cell r="K27">
            <v>0</v>
          </cell>
          <cell r="L27">
            <v>0.34</v>
          </cell>
          <cell r="M27">
            <v>2.8029999999999999E-2</v>
          </cell>
          <cell r="N27">
            <v>3.8001</v>
          </cell>
          <cell r="O27">
            <v>17.309999999999999</v>
          </cell>
          <cell r="P27">
            <v>58507</v>
          </cell>
          <cell r="Q27">
            <v>69487</v>
          </cell>
          <cell r="R27">
            <v>0.49480000000000002</v>
          </cell>
        </row>
        <row r="28">
          <cell r="A28" t="str">
            <v>LUMN</v>
          </cell>
          <cell r="D28" t="str">
            <v>USD</v>
          </cell>
          <cell r="E28">
            <v>45912.856180126561</v>
          </cell>
          <cell r="F28">
            <v>6.09</v>
          </cell>
          <cell r="G28">
            <v>6.06</v>
          </cell>
          <cell r="H28">
            <v>6.0549999999999997</v>
          </cell>
          <cell r="I28">
            <v>5.81</v>
          </cell>
          <cell r="J28">
            <v>6.1498999999999997</v>
          </cell>
          <cell r="K28">
            <v>99</v>
          </cell>
          <cell r="L28">
            <v>-3.5000000000000003E-2</v>
          </cell>
          <cell r="M28">
            <v>-5.7469999999999995E-3</v>
          </cell>
          <cell r="N28">
            <v>3.01</v>
          </cell>
          <cell r="O28">
            <v>10.33</v>
          </cell>
          <cell r="P28">
            <v>14460029</v>
          </cell>
          <cell r="Q28">
            <v>14848445</v>
          </cell>
          <cell r="R28">
            <v>1.4157</v>
          </cell>
        </row>
        <row r="29">
          <cell r="A29" t="str">
            <v>MRNA</v>
          </cell>
          <cell r="D29" t="str">
            <v>USD</v>
          </cell>
          <cell r="E29">
            <v>45912.856650265625</v>
          </cell>
          <cell r="F29">
            <v>25.39</v>
          </cell>
          <cell r="G29">
            <v>25.225000000000001</v>
          </cell>
          <cell r="H29">
            <v>23.51</v>
          </cell>
          <cell r="I29">
            <v>23.18</v>
          </cell>
          <cell r="J29">
            <v>25.414999999999999</v>
          </cell>
          <cell r="K29">
            <v>0</v>
          </cell>
          <cell r="L29">
            <v>-1.88</v>
          </cell>
          <cell r="M29">
            <v>-7.4045E-2</v>
          </cell>
          <cell r="N29">
            <v>23.15</v>
          </cell>
          <cell r="O29">
            <v>75.371399999999994</v>
          </cell>
          <cell r="P29">
            <v>31149393</v>
          </cell>
          <cell r="Q29">
            <v>9797621</v>
          </cell>
          <cell r="R29">
            <v>2.0053999999999998</v>
          </cell>
        </row>
        <row r="30">
          <cell r="A30" t="str">
            <v>MSFT</v>
          </cell>
          <cell r="D30" t="str">
            <v>USD</v>
          </cell>
          <cell r="E30">
            <v>45912.856600346873</v>
          </cell>
          <cell r="F30">
            <v>501.01</v>
          </cell>
          <cell r="G30">
            <v>506.65</v>
          </cell>
          <cell r="H30">
            <v>509.9</v>
          </cell>
          <cell r="I30">
            <v>503.85</v>
          </cell>
          <cell r="J30">
            <v>512.54999999999995</v>
          </cell>
          <cell r="K30">
            <v>37.3797</v>
          </cell>
          <cell r="L30">
            <v>8.89</v>
          </cell>
          <cell r="M30">
            <v>1.7743999999999999E-2</v>
          </cell>
          <cell r="N30">
            <v>344.79</v>
          </cell>
          <cell r="O30">
            <v>555.45000000000005</v>
          </cell>
          <cell r="P30">
            <v>23558621</v>
          </cell>
          <cell r="Q30">
            <v>20548349</v>
          </cell>
          <cell r="R30">
            <v>1.0249999999999999</v>
          </cell>
        </row>
        <row r="31">
          <cell r="A31" t="str">
            <v>NEE</v>
          </cell>
          <cell r="D31" t="str">
            <v>USD</v>
          </cell>
          <cell r="E31">
            <v>45912.850109397659</v>
          </cell>
          <cell r="F31">
            <v>71.319999999999993</v>
          </cell>
          <cell r="G31">
            <v>71.150000000000006</v>
          </cell>
          <cell r="H31">
            <v>71.66</v>
          </cell>
          <cell r="I31">
            <v>70.81</v>
          </cell>
          <cell r="J31">
            <v>72.489999999999995</v>
          </cell>
          <cell r="K31">
            <v>26.800799999999999</v>
          </cell>
          <cell r="L31">
            <v>0.34</v>
          </cell>
          <cell r="M31">
            <v>4.7670000000000004E-3</v>
          </cell>
          <cell r="N31">
            <v>61.72</v>
          </cell>
          <cell r="O31">
            <v>86.1</v>
          </cell>
          <cell r="P31">
            <v>9341378</v>
          </cell>
          <cell r="Q31">
            <v>9808463</v>
          </cell>
          <cell r="R31">
            <v>0.64590000000000003</v>
          </cell>
        </row>
        <row r="32">
          <cell r="A32" t="str">
            <v>NEM</v>
          </cell>
          <cell r="D32" t="str">
            <v>USD</v>
          </cell>
          <cell r="E32">
            <v>45912.85604607578</v>
          </cell>
          <cell r="F32">
            <v>79.650000000000006</v>
          </cell>
          <cell r="G32">
            <v>79.72</v>
          </cell>
          <cell r="H32">
            <v>79.265000000000001</v>
          </cell>
          <cell r="I32">
            <v>78.765000000000001</v>
          </cell>
          <cell r="J32">
            <v>80.069999999999993</v>
          </cell>
          <cell r="K32">
            <v>14.347099999999999</v>
          </cell>
          <cell r="L32">
            <v>-0.38500000000000001</v>
          </cell>
          <cell r="M32">
            <v>-4.8339999999999998E-3</v>
          </cell>
          <cell r="N32">
            <v>36.86</v>
          </cell>
          <cell r="O32">
            <v>80.069999999999993</v>
          </cell>
          <cell r="P32">
            <v>8272741</v>
          </cell>
          <cell r="Q32">
            <v>8752411</v>
          </cell>
          <cell r="R32">
            <v>0.33800000000000002</v>
          </cell>
        </row>
        <row r="33">
          <cell r="A33" t="str">
            <v>NFLX</v>
          </cell>
          <cell r="D33" t="str">
            <v>USD</v>
          </cell>
          <cell r="E33">
            <v>45912.856344988279</v>
          </cell>
          <cell r="F33">
            <v>1203.5</v>
          </cell>
          <cell r="G33">
            <v>1203.0550000000001</v>
          </cell>
          <cell r="H33">
            <v>1188.44</v>
          </cell>
          <cell r="I33">
            <v>1182.4000000000001</v>
          </cell>
          <cell r="J33">
            <v>1211.78</v>
          </cell>
          <cell r="K33">
            <v>50.642400000000002</v>
          </cell>
          <cell r="L33">
            <v>-15.06</v>
          </cell>
          <cell r="M33">
            <v>-1.2514000000000001E-2</v>
          </cell>
          <cell r="N33">
            <v>677.88</v>
          </cell>
          <cell r="O33">
            <v>1341.15</v>
          </cell>
          <cell r="P33">
            <v>3772027</v>
          </cell>
          <cell r="Q33">
            <v>2734601</v>
          </cell>
          <cell r="R33">
            <v>1.6034999999999999</v>
          </cell>
        </row>
        <row r="34">
          <cell r="A34" t="str">
            <v>NOTE</v>
          </cell>
          <cell r="D34" t="str">
            <v>USD</v>
          </cell>
          <cell r="E34">
            <v>45912.852243657035</v>
          </cell>
          <cell r="F34">
            <v>5.0999999999999996</v>
          </cell>
          <cell r="G34">
            <v>4.9400000000000004</v>
          </cell>
          <cell r="H34">
            <v>4.5750000000000002</v>
          </cell>
          <cell r="I34">
            <v>4.4161999999999999</v>
          </cell>
          <cell r="J34">
            <v>5.05</v>
          </cell>
          <cell r="K34">
            <v>99</v>
          </cell>
          <cell r="L34">
            <v>-0.52500000000000002</v>
          </cell>
          <cell r="M34">
            <v>-0.102941</v>
          </cell>
          <cell r="N34">
            <v>3.8</v>
          </cell>
          <cell r="O34">
            <v>24.36</v>
          </cell>
          <cell r="P34">
            <v>375822</v>
          </cell>
          <cell r="Q34">
            <v>294965</v>
          </cell>
          <cell r="R34">
            <v>0.56910000000000005</v>
          </cell>
        </row>
        <row r="35">
          <cell r="A35" t="str">
            <v>PAAS</v>
          </cell>
          <cell r="D35" t="str">
            <v>USD</v>
          </cell>
          <cell r="E35">
            <v>45912.855599189061</v>
          </cell>
          <cell r="F35">
            <v>36.82</v>
          </cell>
          <cell r="G35">
            <v>37.479999999999997</v>
          </cell>
          <cell r="H35">
            <v>36.69</v>
          </cell>
          <cell r="I35">
            <v>36.625</v>
          </cell>
          <cell r="J35">
            <v>37.56</v>
          </cell>
          <cell r="K35">
            <v>25.4739</v>
          </cell>
          <cell r="L35">
            <v>-0.13</v>
          </cell>
          <cell r="M35">
            <v>-3.5310000000000003E-3</v>
          </cell>
          <cell r="N35">
            <v>19.78</v>
          </cell>
          <cell r="O35">
            <v>37.56</v>
          </cell>
          <cell r="P35">
            <v>6891547</v>
          </cell>
          <cell r="Q35">
            <v>5482939</v>
          </cell>
          <cell r="R35">
            <v>0.84379999999999999</v>
          </cell>
        </row>
        <row r="36">
          <cell r="A36" t="str">
            <v>PROF</v>
          </cell>
          <cell r="D36" t="str">
            <v>USD</v>
          </cell>
          <cell r="E36">
            <v>45912.840323101562</v>
          </cell>
          <cell r="F36">
            <v>3.96</v>
          </cell>
          <cell r="G36">
            <v>4.01</v>
          </cell>
          <cell r="H36">
            <v>4.04</v>
          </cell>
          <cell r="I36">
            <v>3.98</v>
          </cell>
          <cell r="J36">
            <v>4.0999999999999996</v>
          </cell>
          <cell r="K36">
            <v>0</v>
          </cell>
          <cell r="L36">
            <v>0.08</v>
          </cell>
          <cell r="M36">
            <v>2.0202000000000001E-2</v>
          </cell>
          <cell r="N36">
            <v>3.76</v>
          </cell>
          <cell r="O36">
            <v>9.17</v>
          </cell>
          <cell r="P36">
            <v>61898</v>
          </cell>
          <cell r="Q36">
            <v>146803</v>
          </cell>
          <cell r="R36">
            <v>0.29759999999999998</v>
          </cell>
        </row>
        <row r="37">
          <cell r="A37" t="str">
            <v>POET</v>
          </cell>
          <cell r="D37" t="str">
            <v>USD</v>
          </cell>
          <cell r="E37">
            <v>45912.850374039066</v>
          </cell>
          <cell r="F37">
            <v>5.33</v>
          </cell>
          <cell r="G37">
            <v>5.43</v>
          </cell>
          <cell r="H37">
            <v>5.24</v>
          </cell>
          <cell r="I37">
            <v>5.14</v>
          </cell>
          <cell r="J37">
            <v>5.43</v>
          </cell>
          <cell r="K37">
            <v>0</v>
          </cell>
          <cell r="L37">
            <v>-0.09</v>
          </cell>
          <cell r="M37">
            <v>-1.6886000000000002E-2</v>
          </cell>
          <cell r="N37">
            <v>2.91</v>
          </cell>
          <cell r="O37">
            <v>7.79</v>
          </cell>
          <cell r="P37">
            <v>1045951</v>
          </cell>
          <cell r="Q37">
            <v>1316474</v>
          </cell>
          <cell r="R37">
            <v>0.37559999999999999</v>
          </cell>
        </row>
        <row r="38">
          <cell r="A38" t="str">
            <v>PW</v>
          </cell>
          <cell r="D38" t="str">
            <v>USD</v>
          </cell>
          <cell r="E38">
            <v>45912.852814258593</v>
          </cell>
          <cell r="F38">
            <v>1.02</v>
          </cell>
          <cell r="G38">
            <v>1.03</v>
          </cell>
          <cell r="H38">
            <v>1.03</v>
          </cell>
          <cell r="I38">
            <v>1.02</v>
          </cell>
          <cell r="J38">
            <v>1.05</v>
          </cell>
          <cell r="K38">
            <v>99</v>
          </cell>
          <cell r="L38">
            <v>0.01</v>
          </cell>
          <cell r="M38">
            <v>9.8040000000000002E-3</v>
          </cell>
          <cell r="N38">
            <v>0.63</v>
          </cell>
          <cell r="O38">
            <v>2.75</v>
          </cell>
          <cell r="P38">
            <v>16553</v>
          </cell>
          <cell r="Q38">
            <v>155978</v>
          </cell>
          <cell r="R38">
            <v>1.522</v>
          </cell>
        </row>
        <row r="39">
          <cell r="A39" t="str">
            <v>RIGL</v>
          </cell>
          <cell r="D39" t="str">
            <v>USD</v>
          </cell>
          <cell r="E39">
            <v>45912.840323228906</v>
          </cell>
          <cell r="F39">
            <v>37.82</v>
          </cell>
          <cell r="G39">
            <v>37.78</v>
          </cell>
          <cell r="H39">
            <v>37.96</v>
          </cell>
          <cell r="I39">
            <v>37.130000000000003</v>
          </cell>
          <cell r="J39">
            <v>38.130000000000003</v>
          </cell>
          <cell r="K39">
            <v>7.0102000000000002</v>
          </cell>
          <cell r="L39">
            <v>0.14000000000000001</v>
          </cell>
          <cell r="M39">
            <v>3.7019999999999996E-3</v>
          </cell>
          <cell r="N39">
            <v>12.76</v>
          </cell>
          <cell r="O39">
            <v>43.7181</v>
          </cell>
          <cell r="P39">
            <v>379170</v>
          </cell>
          <cell r="Q39">
            <v>855890</v>
          </cell>
          <cell r="R39">
            <v>1.2568999999999999</v>
          </cell>
        </row>
        <row r="40">
          <cell r="A40" t="str">
            <v>RWE</v>
          </cell>
          <cell r="D40" t="str">
            <v>EUR</v>
          </cell>
          <cell r="E40">
            <v>45912.770833333336</v>
          </cell>
          <cell r="F40">
            <v>35.75</v>
          </cell>
          <cell r="G40">
            <v>35.950000000000003</v>
          </cell>
          <cell r="H40">
            <v>35.93</v>
          </cell>
          <cell r="I40">
            <v>35.72</v>
          </cell>
          <cell r="J40">
            <v>36.03</v>
          </cell>
          <cell r="K40">
            <v>10.2828</v>
          </cell>
          <cell r="L40">
            <v>0.18</v>
          </cell>
          <cell r="M40">
            <v>5.0349999999999995E-3</v>
          </cell>
          <cell r="N40">
            <v>27.76</v>
          </cell>
          <cell r="O40">
            <v>37.78</v>
          </cell>
          <cell r="P40">
            <v>1265529</v>
          </cell>
          <cell r="Q40">
            <v>1328520</v>
          </cell>
          <cell r="R40">
            <v>0.48020000000000002</v>
          </cell>
        </row>
        <row r="41">
          <cell r="A41" t="str">
            <v>SAP</v>
          </cell>
          <cell r="D41" t="str">
            <v>EUR</v>
          </cell>
          <cell r="E41">
            <v>45912.770833333336</v>
          </cell>
          <cell r="F41">
            <v>219.8</v>
          </cell>
          <cell r="G41">
            <v>219.9</v>
          </cell>
          <cell r="H41">
            <v>220.9</v>
          </cell>
          <cell r="I41">
            <v>219.2</v>
          </cell>
          <cell r="J41">
            <v>221.8</v>
          </cell>
          <cell r="K41">
            <v>39.440800000000003</v>
          </cell>
          <cell r="L41">
            <v>1.1000000000000001</v>
          </cell>
          <cell r="M41">
            <v>5.004999999999999E-3</v>
          </cell>
          <cell r="N41">
            <v>191.54</v>
          </cell>
          <cell r="O41">
            <v>283.5</v>
          </cell>
          <cell r="P41">
            <v>1360689</v>
          </cell>
          <cell r="Q41">
            <v>1300360</v>
          </cell>
          <cell r="R41">
            <v>1.1747000000000001</v>
          </cell>
        </row>
        <row r="42">
          <cell r="A42" t="str">
            <v>SHECY</v>
          </cell>
          <cell r="D42" t="str">
            <v>USD</v>
          </cell>
          <cell r="E42">
            <v>45912.833333333336</v>
          </cell>
          <cell r="F42">
            <v>15.07</v>
          </cell>
          <cell r="G42">
            <v>14.91</v>
          </cell>
          <cell r="H42">
            <v>14.86</v>
          </cell>
          <cell r="I42">
            <v>14.83</v>
          </cell>
          <cell r="J42">
            <v>14.975</v>
          </cell>
          <cell r="K42">
            <v>0</v>
          </cell>
          <cell r="L42">
            <v>-0.21</v>
          </cell>
          <cell r="M42">
            <v>-1.3934999999999999E-2</v>
          </cell>
          <cell r="N42">
            <v>11.88</v>
          </cell>
          <cell r="O42">
            <v>21.74</v>
          </cell>
          <cell r="P42">
            <v>161717</v>
          </cell>
          <cell r="Q42">
            <v>5873050</v>
          </cell>
          <cell r="R42">
            <v>1.4705999999999999</v>
          </cell>
        </row>
        <row r="43">
          <cell r="A43" t="str">
            <v>SSYS</v>
          </cell>
          <cell r="D43" t="str">
            <v>USD</v>
          </cell>
          <cell r="E43">
            <v>45912.854248517971</v>
          </cell>
          <cell r="F43">
            <v>9.85</v>
          </cell>
          <cell r="G43">
            <v>9.83</v>
          </cell>
          <cell r="H43">
            <v>9.81</v>
          </cell>
          <cell r="I43">
            <v>9.68</v>
          </cell>
          <cell r="J43">
            <v>9.8787000000000003</v>
          </cell>
          <cell r="K43">
            <v>0</v>
          </cell>
          <cell r="L43">
            <v>-0.04</v>
          </cell>
          <cell r="M43">
            <v>-4.0610000000000004E-3</v>
          </cell>
          <cell r="N43">
            <v>6.81</v>
          </cell>
          <cell r="O43">
            <v>12.88</v>
          </cell>
          <cell r="P43">
            <v>627830</v>
          </cell>
          <cell r="Q43">
            <v>1211385</v>
          </cell>
          <cell r="R43">
            <v>1.5848</v>
          </cell>
        </row>
        <row r="44">
          <cell r="A44" t="str">
            <v>TSLA</v>
          </cell>
          <cell r="D44" t="str">
            <v>USD</v>
          </cell>
          <cell r="E44">
            <v>45912.856691006251</v>
          </cell>
          <cell r="F44">
            <v>368.81</v>
          </cell>
          <cell r="G44">
            <v>370.94</v>
          </cell>
          <cell r="H44">
            <v>395.94</v>
          </cell>
          <cell r="I44">
            <v>370.24</v>
          </cell>
          <cell r="J44">
            <v>396.68990000000002</v>
          </cell>
          <cell r="K44">
            <v>205.52699999999999</v>
          </cell>
          <cell r="L44">
            <v>27.13</v>
          </cell>
          <cell r="M44">
            <v>7.3561000000000001E-2</v>
          </cell>
          <cell r="N44">
            <v>212.11</v>
          </cell>
          <cell r="O44">
            <v>488.53989999999999</v>
          </cell>
          <cell r="P44">
            <v>167018534</v>
          </cell>
          <cell r="Q44">
            <v>76832050</v>
          </cell>
          <cell r="R44">
            <v>2.0426000000000002</v>
          </cell>
        </row>
        <row r="45">
          <cell r="A45" t="str">
            <v>TSM</v>
          </cell>
          <cell r="D45" t="str">
            <v>USD</v>
          </cell>
          <cell r="E45">
            <v>45912.856647974222</v>
          </cell>
          <cell r="F45">
            <v>258.91000000000003</v>
          </cell>
          <cell r="G45">
            <v>260.85000000000002</v>
          </cell>
          <cell r="H45">
            <v>259.38</v>
          </cell>
          <cell r="I45">
            <v>258.38</v>
          </cell>
          <cell r="J45">
            <v>260.95</v>
          </cell>
          <cell r="K45">
            <v>26.888200000000001</v>
          </cell>
          <cell r="L45">
            <v>0.47</v>
          </cell>
          <cell r="M45">
            <v>1.815E-3</v>
          </cell>
          <cell r="N45">
            <v>134.25</v>
          </cell>
          <cell r="O45">
            <v>264.58</v>
          </cell>
          <cell r="P45">
            <v>8477627</v>
          </cell>
          <cell r="Q45">
            <v>11004019</v>
          </cell>
          <cell r="R45">
            <v>1.2664</v>
          </cell>
        </row>
        <row r="46">
          <cell r="A46" t="str">
            <v>UN0</v>
          </cell>
          <cell r="D46" t="str">
            <v>EUR</v>
          </cell>
          <cell r="E46">
            <v>45912.836805555555</v>
          </cell>
          <cell r="F46">
            <v>35.35</v>
          </cell>
          <cell r="G46">
            <v>35.5</v>
          </cell>
          <cell r="H46">
            <v>36.25</v>
          </cell>
          <cell r="I46">
            <v>35.450000000000003</v>
          </cell>
          <cell r="J46">
            <v>36.25</v>
          </cell>
          <cell r="K46">
            <v>99</v>
          </cell>
          <cell r="L46">
            <v>0.9</v>
          </cell>
          <cell r="M46">
            <v>2.5459999999999997E-2</v>
          </cell>
          <cell r="N46">
            <v>2.1</v>
          </cell>
          <cell r="O46">
            <v>73.5</v>
          </cell>
          <cell r="P46">
            <v>251</v>
          </cell>
          <cell r="Q46">
            <v>1830</v>
          </cell>
          <cell r="R46">
            <v>1.0064</v>
          </cell>
        </row>
        <row r="47">
          <cell r="A47" t="str">
            <v>UNIT</v>
          </cell>
          <cell r="D47" t="str">
            <v>USD</v>
          </cell>
          <cell r="E47">
            <v>45912.840323714845</v>
          </cell>
          <cell r="F47">
            <v>7.11</v>
          </cell>
          <cell r="G47">
            <v>7.12</v>
          </cell>
          <cell r="H47">
            <v>6.94</v>
          </cell>
          <cell r="I47">
            <v>6.8250000000000002</v>
          </cell>
          <cell r="J47">
            <v>7.13</v>
          </cell>
          <cell r="K47">
            <v>29.171900000000001</v>
          </cell>
          <cell r="L47">
            <v>-0.17</v>
          </cell>
          <cell r="M47">
            <v>-2.3910000000000001E-2</v>
          </cell>
          <cell r="N47">
            <v>5.6849999999999996</v>
          </cell>
          <cell r="O47">
            <v>10.466100000000001</v>
          </cell>
          <cell r="P47">
            <v>1770289</v>
          </cell>
          <cell r="Q47">
            <v>3354385</v>
          </cell>
          <cell r="R47">
            <v>1.5868</v>
          </cell>
        </row>
        <row r="48">
          <cell r="A48" t="str">
            <v>AVGO</v>
          </cell>
          <cell r="D48" t="str">
            <v>USD</v>
          </cell>
          <cell r="E48">
            <v>45912.856534721876</v>
          </cell>
          <cell r="F48">
            <v>359.63</v>
          </cell>
          <cell r="G48">
            <v>362.91</v>
          </cell>
          <cell r="H48">
            <v>359.87</v>
          </cell>
          <cell r="I48">
            <v>357.16</v>
          </cell>
          <cell r="J48">
            <v>364.38499999999999</v>
          </cell>
          <cell r="K48">
            <v>92.250699999999995</v>
          </cell>
          <cell r="L48">
            <v>0.24</v>
          </cell>
          <cell r="M48">
            <v>6.6739999999999996E-4</v>
          </cell>
          <cell r="N48">
            <v>138.1</v>
          </cell>
          <cell r="O48">
            <v>374.23</v>
          </cell>
          <cell r="P48">
            <v>31063751</v>
          </cell>
          <cell r="Q48">
            <v>23937964</v>
          </cell>
          <cell r="R48">
            <v>1.21</v>
          </cell>
        </row>
        <row r="49">
          <cell r="A49" t="str">
            <v>VLVLY</v>
          </cell>
          <cell r="D49" t="str">
            <v>USD</v>
          </cell>
          <cell r="E49">
            <v>45912.833333333336</v>
          </cell>
          <cell r="F49">
            <v>29.552499999999998</v>
          </cell>
          <cell r="G49">
            <v>29.349599999999999</v>
          </cell>
          <cell r="H49">
            <v>29.313500000000001</v>
          </cell>
          <cell r="I49">
            <v>29.2</v>
          </cell>
          <cell r="J49">
            <v>29.4</v>
          </cell>
          <cell r="K49">
            <v>0</v>
          </cell>
          <cell r="L49">
            <v>-0.23899999999999999</v>
          </cell>
          <cell r="M49">
            <v>-8.0870000000000004E-3</v>
          </cell>
          <cell r="N49">
            <v>22.55</v>
          </cell>
          <cell r="O49">
            <v>33.33</v>
          </cell>
          <cell r="P49">
            <v>40024</v>
          </cell>
          <cell r="Q49">
            <v>2480420</v>
          </cell>
          <cell r="R49">
            <v>0.90549999999999997</v>
          </cell>
        </row>
        <row r="50">
          <cell r="A50" t="str">
            <v>VONN</v>
          </cell>
          <cell r="D50" t="str">
            <v>CHF</v>
          </cell>
          <cell r="E50">
            <v>45912.652777777781</v>
          </cell>
          <cell r="F50">
            <v>61.4</v>
          </cell>
          <cell r="G50">
            <v>61.6</v>
          </cell>
          <cell r="H50">
            <v>61.3</v>
          </cell>
          <cell r="I50">
            <v>61.1</v>
          </cell>
          <cell r="J50">
            <v>61.9</v>
          </cell>
          <cell r="K50">
            <v>13.8375</v>
          </cell>
          <cell r="L50">
            <v>-0.1</v>
          </cell>
          <cell r="M50">
            <v>-1.6289999999999998E-3</v>
          </cell>
          <cell r="N50">
            <v>51.1</v>
          </cell>
          <cell r="O50">
            <v>69.5</v>
          </cell>
          <cell r="P50">
            <v>23593</v>
          </cell>
          <cell r="Q50">
            <v>27080</v>
          </cell>
          <cell r="R50">
            <v>1.0327999999999999</v>
          </cell>
        </row>
        <row r="51">
          <cell r="A51" t="str">
            <v>VTRS</v>
          </cell>
          <cell r="D51" t="str">
            <v>USD</v>
          </cell>
          <cell r="E51">
            <v>45912.855086851559</v>
          </cell>
          <cell r="F51">
            <v>10.17</v>
          </cell>
          <cell r="G51">
            <v>10.09</v>
          </cell>
          <cell r="H51">
            <v>9.9600000000000009</v>
          </cell>
          <cell r="I51">
            <v>9.94</v>
          </cell>
          <cell r="J51">
            <v>10.185</v>
          </cell>
          <cell r="K51">
            <v>0</v>
          </cell>
          <cell r="L51">
            <v>-0.21</v>
          </cell>
          <cell r="M51">
            <v>-2.0649000000000001E-2</v>
          </cell>
          <cell r="N51">
            <v>6.85</v>
          </cell>
          <cell r="O51">
            <v>13.55</v>
          </cell>
          <cell r="P51">
            <v>12166836</v>
          </cell>
          <cell r="Q51">
            <v>9656489</v>
          </cell>
          <cell r="R51">
            <v>0.9022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45912.855599293747</v>
          </cell>
          <cell r="F53">
            <v>112.14</v>
          </cell>
          <cell r="G53">
            <v>112.86</v>
          </cell>
          <cell r="H53">
            <v>112.19</v>
          </cell>
          <cell r="I53">
            <v>111.875</v>
          </cell>
          <cell r="J53">
            <v>113.22</v>
          </cell>
          <cell r="K53">
            <v>15.9191</v>
          </cell>
          <cell r="L53">
            <v>0.05</v>
          </cell>
          <cell r="M53">
            <v>4.459E-4</v>
          </cell>
          <cell r="N53">
            <v>97.8</v>
          </cell>
          <cell r="O53">
            <v>126.34</v>
          </cell>
          <cell r="P53">
            <v>11097439</v>
          </cell>
          <cell r="Q53">
            <v>14793917</v>
          </cell>
          <cell r="R53">
            <v>0.49020000000000002</v>
          </cell>
        </row>
        <row r="54">
          <cell r="A54" t="str">
            <v>XPER</v>
          </cell>
          <cell r="D54" t="str">
            <v>USD</v>
          </cell>
          <cell r="E54">
            <v>45912.840323935154</v>
          </cell>
          <cell r="F54">
            <v>6.07</v>
          </cell>
          <cell r="G54">
            <v>6.06</v>
          </cell>
          <cell r="H54">
            <v>6.03</v>
          </cell>
          <cell r="I54">
            <v>5.9550000000000001</v>
          </cell>
          <cell r="J54">
            <v>6.0759999999999996</v>
          </cell>
          <cell r="K54">
            <v>99</v>
          </cell>
          <cell r="L54">
            <v>-0.04</v>
          </cell>
          <cell r="M54">
            <v>-6.5900000000000004E-3</v>
          </cell>
          <cell r="N54">
            <v>5.6849999999999996</v>
          </cell>
          <cell r="O54">
            <v>11.074999999999999</v>
          </cell>
          <cell r="P54">
            <v>430424</v>
          </cell>
          <cell r="Q54">
            <v>513698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45912.666666666664</v>
          </cell>
          <cell r="F55">
            <v>0.88800000000000001</v>
          </cell>
          <cell r="G55">
            <v>0.88800000000000001</v>
          </cell>
          <cell r="H55">
            <v>0.89</v>
          </cell>
          <cell r="I55">
            <v>0.88800000000000001</v>
          </cell>
          <cell r="J55">
            <v>0.89</v>
          </cell>
          <cell r="K55">
            <v>0</v>
          </cell>
          <cell r="L55">
            <v>2E-3</v>
          </cell>
          <cell r="M55">
            <v>2.2520000000000001E-3</v>
          </cell>
          <cell r="N55">
            <v>0.65</v>
          </cell>
          <cell r="O55">
            <v>1.91</v>
          </cell>
          <cell r="P55">
            <v>117</v>
          </cell>
          <cell r="Q55">
            <v>5220</v>
          </cell>
          <cell r="R55">
            <v>0.99399999999999999</v>
          </cell>
        </row>
        <row r="56">
          <cell r="A56" t="str">
            <v>MVEDDD</v>
          </cell>
          <cell r="D56" t="str">
            <v>USD</v>
          </cell>
          <cell r="E56">
            <v>45912.85209288125</v>
          </cell>
          <cell r="F56">
            <v>2.25</v>
          </cell>
          <cell r="G56">
            <v>2.27</v>
          </cell>
          <cell r="H56">
            <v>2.2250000000000001</v>
          </cell>
          <cell r="I56">
            <v>2.2000000000000002</v>
          </cell>
          <cell r="J56">
            <v>2.3199999999999998</v>
          </cell>
          <cell r="K56">
            <v>99</v>
          </cell>
          <cell r="L56">
            <v>-2.5000000000000001E-2</v>
          </cell>
          <cell r="M56">
            <v>-1.1110999999999999E-2</v>
          </cell>
          <cell r="N56">
            <v>1.32</v>
          </cell>
          <cell r="O56">
            <v>4.9991000000000003</v>
          </cell>
          <cell r="P56">
            <v>1941002</v>
          </cell>
          <cell r="Q56">
            <v>4691479</v>
          </cell>
          <cell r="R56">
            <v>2.0779999999999998</v>
          </cell>
        </row>
        <row r="57">
          <cell r="A57" t="str">
            <v>MVEDSY</v>
          </cell>
          <cell r="D57" t="str">
            <v>EUR</v>
          </cell>
          <cell r="E57">
            <v>45912.666666666664</v>
          </cell>
          <cell r="F57">
            <v>27.29</v>
          </cell>
          <cell r="G57">
            <v>27.37</v>
          </cell>
          <cell r="H57">
            <v>27.56</v>
          </cell>
          <cell r="I57">
            <v>27.07</v>
          </cell>
          <cell r="J57">
            <v>27.76</v>
          </cell>
          <cell r="K57">
            <v>31.667200000000001</v>
          </cell>
          <cell r="L57">
            <v>0.27</v>
          </cell>
          <cell r="M57">
            <v>9.894E-3</v>
          </cell>
          <cell r="N57">
            <v>26.25</v>
          </cell>
          <cell r="O57">
            <v>41.17</v>
          </cell>
          <cell r="P57">
            <v>1486445</v>
          </cell>
          <cell r="Q57">
            <v>1768220</v>
          </cell>
          <cell r="R57">
            <v>0.68569999999999998</v>
          </cell>
        </row>
        <row r="58">
          <cell r="A58" t="str">
            <v>MVEEOAN</v>
          </cell>
          <cell r="D58" t="str">
            <v>EUR</v>
          </cell>
          <cell r="E58">
            <v>45912.770833333336</v>
          </cell>
          <cell r="F58">
            <v>15.295</v>
          </cell>
          <cell r="G58">
            <v>15.35</v>
          </cell>
          <cell r="H58">
            <v>15.525</v>
          </cell>
          <cell r="I58">
            <v>15.33</v>
          </cell>
          <cell r="J58">
            <v>15.6</v>
          </cell>
          <cell r="K58">
            <v>12.857100000000001</v>
          </cell>
          <cell r="L58">
            <v>0.23</v>
          </cell>
          <cell r="M58">
            <v>1.5038000000000001E-2</v>
          </cell>
          <cell r="N58">
            <v>10.435</v>
          </cell>
          <cell r="O58">
            <v>16.55</v>
          </cell>
          <cell r="P58">
            <v>5059905</v>
          </cell>
          <cell r="Q58">
            <v>3992280</v>
          </cell>
          <cell r="R58">
            <v>0.71130000000000004</v>
          </cell>
        </row>
        <row r="59">
          <cell r="A59" t="str">
            <v>MVEENI</v>
          </cell>
          <cell r="D59" t="str">
            <v>EUR</v>
          </cell>
          <cell r="E59">
            <v>45912.666666666664</v>
          </cell>
          <cell r="F59">
            <v>14.922000000000001</v>
          </cell>
          <cell r="G59">
            <v>14.83</v>
          </cell>
          <cell r="H59">
            <v>14.882</v>
          </cell>
          <cell r="I59">
            <v>14.82</v>
          </cell>
          <cell r="J59">
            <v>14.994</v>
          </cell>
          <cell r="K59">
            <v>18.5932</v>
          </cell>
          <cell r="L59">
            <v>-0.04</v>
          </cell>
          <cell r="M59">
            <v>-2.6810000000000002E-3</v>
          </cell>
          <cell r="N59">
            <v>11.01</v>
          </cell>
          <cell r="O59">
            <v>15.39</v>
          </cell>
          <cell r="P59">
            <v>7442315</v>
          </cell>
          <cell r="Q59">
            <v>10162250</v>
          </cell>
          <cell r="R59">
            <v>1.1014999999999999</v>
          </cell>
        </row>
        <row r="60">
          <cell r="A60" t="str">
            <v>MVEEPIX</v>
          </cell>
          <cell r="D60" t="str">
            <v>USD</v>
          </cell>
          <cell r="E60">
            <v>45912.854553390622</v>
          </cell>
          <cell r="F60">
            <v>0.20549999999999999</v>
          </cell>
          <cell r="G60">
            <v>0.21099999999999999</v>
          </cell>
          <cell r="H60">
            <v>0.2029</v>
          </cell>
          <cell r="I60">
            <v>0.2016</v>
          </cell>
          <cell r="J60">
            <v>0.21099999999999999</v>
          </cell>
          <cell r="K60">
            <v>0</v>
          </cell>
          <cell r="L60">
            <v>-2.5999999999999999E-3</v>
          </cell>
          <cell r="M60">
            <v>-1.2652000000000002E-2</v>
          </cell>
          <cell r="N60">
            <v>0.17330000000000001</v>
          </cell>
          <cell r="O60">
            <v>0.97570000000000001</v>
          </cell>
          <cell r="P60">
            <v>1666067</v>
          </cell>
          <cell r="Q60">
            <v>14556431</v>
          </cell>
          <cell r="R60">
            <v>1.6119000000000001</v>
          </cell>
        </row>
        <row r="61">
          <cell r="A61" t="str">
            <v>MVEGLE</v>
          </cell>
          <cell r="D61" t="str">
            <v>EUR</v>
          </cell>
          <cell r="E61">
            <v>45912.666666666664</v>
          </cell>
          <cell r="F61">
            <v>57.6</v>
          </cell>
          <cell r="G61">
            <v>57.8</v>
          </cell>
          <cell r="H61">
            <v>57.26</v>
          </cell>
          <cell r="I61">
            <v>56.58</v>
          </cell>
          <cell r="J61">
            <v>57.92</v>
          </cell>
          <cell r="K61">
            <v>9.5901999999999994</v>
          </cell>
          <cell r="L61">
            <v>-0.34</v>
          </cell>
          <cell r="M61">
            <v>-5.9030000000000003E-3</v>
          </cell>
          <cell r="N61">
            <v>21.55</v>
          </cell>
          <cell r="O61">
            <v>59.42</v>
          </cell>
          <cell r="P61">
            <v>1618932</v>
          </cell>
          <cell r="Q61">
            <v>2413200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45912.666666666664</v>
          </cell>
          <cell r="F62">
            <v>13.89</v>
          </cell>
          <cell r="G62">
            <v>13.945</v>
          </cell>
          <cell r="H62">
            <v>13.9</v>
          </cell>
          <cell r="I62">
            <v>13.845000000000001</v>
          </cell>
          <cell r="J62">
            <v>13.95</v>
          </cell>
          <cell r="K62">
            <v>43.904000000000003</v>
          </cell>
          <cell r="L62">
            <v>0.01</v>
          </cell>
          <cell r="M62">
            <v>7.1989999999999999E-4</v>
          </cell>
          <cell r="N62">
            <v>9.3699999999999992</v>
          </cell>
          <cell r="O62">
            <v>14.56</v>
          </cell>
          <cell r="P62">
            <v>2095933</v>
          </cell>
          <cell r="Q62">
            <v>4277840</v>
          </cell>
          <cell r="R62">
            <v>0.27439999999999998</v>
          </cell>
        </row>
        <row r="63">
          <cell r="A63" t="str">
            <v>MVERWE</v>
          </cell>
          <cell r="D63" t="str">
            <v>EUR</v>
          </cell>
          <cell r="E63">
            <v>45912.770833333336</v>
          </cell>
          <cell r="F63">
            <v>35.75</v>
          </cell>
          <cell r="G63">
            <v>35.950000000000003</v>
          </cell>
          <cell r="H63">
            <v>35.93</v>
          </cell>
          <cell r="I63">
            <v>35.72</v>
          </cell>
          <cell r="J63">
            <v>36.03</v>
          </cell>
          <cell r="K63">
            <v>10.2828</v>
          </cell>
          <cell r="L63">
            <v>0.18</v>
          </cell>
          <cell r="M63">
            <v>5.0349999999999995E-3</v>
          </cell>
          <cell r="N63">
            <v>27.76</v>
          </cell>
          <cell r="O63">
            <v>37.78</v>
          </cell>
          <cell r="P63">
            <v>1265529</v>
          </cell>
          <cell r="Q63">
            <v>1328520</v>
          </cell>
          <cell r="R63">
            <v>0.48020000000000002</v>
          </cell>
        </row>
        <row r="64">
          <cell r="A64" t="str">
            <v>MVESAP</v>
          </cell>
          <cell r="D64" t="str">
            <v>EUR</v>
          </cell>
          <cell r="E64">
            <v>45912.770833333336</v>
          </cell>
          <cell r="F64">
            <v>219.8</v>
          </cell>
          <cell r="G64">
            <v>219.9</v>
          </cell>
          <cell r="H64">
            <v>220.9</v>
          </cell>
          <cell r="I64">
            <v>219.2</v>
          </cell>
          <cell r="J64">
            <v>221.8</v>
          </cell>
          <cell r="K64">
            <v>39.440800000000003</v>
          </cell>
          <cell r="L64">
            <v>1.1000000000000001</v>
          </cell>
          <cell r="M64">
            <v>5.004999999999999E-3</v>
          </cell>
          <cell r="N64">
            <v>191.54</v>
          </cell>
          <cell r="O64">
            <v>283.5</v>
          </cell>
          <cell r="P64">
            <v>1360689</v>
          </cell>
          <cell r="Q64">
            <v>1300360</v>
          </cell>
          <cell r="R64">
            <v>1.1747000000000001</v>
          </cell>
        </row>
        <row r="65">
          <cell r="A65" t="str">
            <v>MVEUN0</v>
          </cell>
          <cell r="D65" t="str">
            <v>EUR</v>
          </cell>
          <cell r="E65">
            <v>45912.836805555555</v>
          </cell>
          <cell r="F65">
            <v>35.35</v>
          </cell>
          <cell r="G65">
            <v>35.5</v>
          </cell>
          <cell r="H65">
            <v>36.25</v>
          </cell>
          <cell r="I65">
            <v>35.450000000000003</v>
          </cell>
          <cell r="J65">
            <v>36.25</v>
          </cell>
          <cell r="K65">
            <v>99</v>
          </cell>
          <cell r="L65">
            <v>0.9</v>
          </cell>
          <cell r="M65">
            <v>2.5459999999999997E-2</v>
          </cell>
          <cell r="N65">
            <v>2.1</v>
          </cell>
          <cell r="O65">
            <v>73.5</v>
          </cell>
          <cell r="P65">
            <v>251</v>
          </cell>
          <cell r="Q65">
            <v>1830</v>
          </cell>
          <cell r="R65">
            <v>1.0064</v>
          </cell>
        </row>
        <row r="66">
          <cell r="A66" t="str">
            <v>SAFAAPL</v>
          </cell>
          <cell r="D66" t="str">
            <v>USD</v>
          </cell>
          <cell r="E66">
            <v>45912.856644582811</v>
          </cell>
          <cell r="F66">
            <v>230.03</v>
          </cell>
          <cell r="G66">
            <v>229.22</v>
          </cell>
          <cell r="H66">
            <v>234.07</v>
          </cell>
          <cell r="I66">
            <v>229.02</v>
          </cell>
          <cell r="J66">
            <v>234.51</v>
          </cell>
          <cell r="K66">
            <v>31.726800000000001</v>
          </cell>
          <cell r="L66">
            <v>4.04</v>
          </cell>
          <cell r="M66">
            <v>1.7562999999999999E-2</v>
          </cell>
          <cell r="N66">
            <v>169.21010000000001</v>
          </cell>
          <cell r="O66">
            <v>260.10000000000002</v>
          </cell>
          <cell r="P66">
            <v>55248262</v>
          </cell>
          <cell r="Q66">
            <v>53913175</v>
          </cell>
          <cell r="R66">
            <v>1.0819000000000001</v>
          </cell>
        </row>
        <row r="67">
          <cell r="A67" t="str">
            <v>SAFAMZN</v>
          </cell>
          <cell r="D67" t="str">
            <v>USD</v>
          </cell>
          <cell r="E67">
            <v>45912.856605867972</v>
          </cell>
          <cell r="F67">
            <v>229.95</v>
          </cell>
          <cell r="G67">
            <v>230.35</v>
          </cell>
          <cell r="H67">
            <v>228.15</v>
          </cell>
          <cell r="I67">
            <v>226.29</v>
          </cell>
          <cell r="J67">
            <v>230.79</v>
          </cell>
          <cell r="K67">
            <v>34.815100000000001</v>
          </cell>
          <cell r="L67">
            <v>-1.8</v>
          </cell>
          <cell r="M67">
            <v>-7.8279999999999999E-3</v>
          </cell>
          <cell r="N67">
            <v>161.38</v>
          </cell>
          <cell r="O67">
            <v>242.52</v>
          </cell>
          <cell r="P67">
            <v>38335202</v>
          </cell>
          <cell r="Q67">
            <v>35792217</v>
          </cell>
          <cell r="R67">
            <v>1.2957000000000001</v>
          </cell>
        </row>
        <row r="68">
          <cell r="A68" t="str">
            <v>SAFASML</v>
          </cell>
          <cell r="D68" t="str">
            <v>EUR</v>
          </cell>
          <cell r="E68">
            <v>45912.666666666664</v>
          </cell>
          <cell r="F68">
            <v>686</v>
          </cell>
          <cell r="G68">
            <v>688</v>
          </cell>
          <cell r="H68">
            <v>689.8</v>
          </cell>
          <cell r="I68">
            <v>681.5</v>
          </cell>
          <cell r="J68">
            <v>692.1</v>
          </cell>
          <cell r="K68">
            <v>26.485800000000001</v>
          </cell>
          <cell r="L68">
            <v>3.8</v>
          </cell>
          <cell r="M68">
            <v>5.5389999999999997E-3</v>
          </cell>
          <cell r="N68">
            <v>508.4</v>
          </cell>
          <cell r="O68">
            <v>804.6</v>
          </cell>
          <cell r="P68">
            <v>440502</v>
          </cell>
          <cell r="Q68">
            <v>556550</v>
          </cell>
          <cell r="R68">
            <v>1.8632</v>
          </cell>
        </row>
        <row r="69">
          <cell r="A69" t="str">
            <v>SAFDDD</v>
          </cell>
          <cell r="D69" t="str">
            <v>USD</v>
          </cell>
          <cell r="E69">
            <v>45912.85209288125</v>
          </cell>
          <cell r="F69">
            <v>2.25</v>
          </cell>
          <cell r="G69">
            <v>2.27</v>
          </cell>
          <cell r="H69">
            <v>2.2250000000000001</v>
          </cell>
          <cell r="I69">
            <v>2.2000000000000002</v>
          </cell>
          <cell r="J69">
            <v>2.3199999999999998</v>
          </cell>
          <cell r="K69">
            <v>99</v>
          </cell>
          <cell r="L69">
            <v>-2.5000000000000001E-2</v>
          </cell>
          <cell r="M69">
            <v>-1.1110999999999999E-2</v>
          </cell>
          <cell r="N69">
            <v>1.32</v>
          </cell>
          <cell r="O69">
            <v>4.9991000000000003</v>
          </cell>
          <cell r="P69">
            <v>1941002</v>
          </cell>
          <cell r="Q69">
            <v>4691479</v>
          </cell>
          <cell r="R69">
            <v>2.0779999999999998</v>
          </cell>
        </row>
        <row r="70">
          <cell r="A70" t="str">
            <v>SAFDIS</v>
          </cell>
          <cell r="D70" t="str">
            <v>USD</v>
          </cell>
          <cell r="E70">
            <v>45912.855752546093</v>
          </cell>
          <cell r="F70">
            <v>117.08</v>
          </cell>
          <cell r="G70">
            <v>116.26</v>
          </cell>
          <cell r="H70">
            <v>115.97</v>
          </cell>
          <cell r="I70">
            <v>115.1</v>
          </cell>
          <cell r="J70">
            <v>117.01</v>
          </cell>
          <cell r="K70">
            <v>18.181699999999999</v>
          </cell>
          <cell r="L70">
            <v>-1.1100000000000001</v>
          </cell>
          <cell r="M70">
            <v>-9.4809999999999998E-3</v>
          </cell>
          <cell r="N70">
            <v>80.099999999999994</v>
          </cell>
          <cell r="O70">
            <v>124.69</v>
          </cell>
          <cell r="P70">
            <v>7636351</v>
          </cell>
          <cell r="Q70">
            <v>7033153</v>
          </cell>
          <cell r="R70">
            <v>1.5537000000000001</v>
          </cell>
        </row>
        <row r="71">
          <cell r="A71" t="str">
            <v>SAFGM</v>
          </cell>
          <cell r="D71" t="str">
            <v>USD</v>
          </cell>
          <cell r="E71">
            <v>45912.855596388283</v>
          </cell>
          <cell r="F71">
            <v>58.71</v>
          </cell>
          <cell r="G71">
            <v>59.85</v>
          </cell>
          <cell r="H71">
            <v>58.505000000000003</v>
          </cell>
          <cell r="I71">
            <v>58.475000000000001</v>
          </cell>
          <cell r="J71">
            <v>60</v>
          </cell>
          <cell r="K71">
            <v>8.4329999999999998</v>
          </cell>
          <cell r="L71">
            <v>-0.20499999999999999</v>
          </cell>
          <cell r="M71">
            <v>-3.4920000000000003E-3</v>
          </cell>
          <cell r="N71">
            <v>41.6</v>
          </cell>
          <cell r="O71">
            <v>61.24</v>
          </cell>
          <cell r="P71">
            <v>12018282</v>
          </cell>
          <cell r="Q71">
            <v>6407525</v>
          </cell>
          <cell r="R71">
            <v>1.3363</v>
          </cell>
        </row>
        <row r="72">
          <cell r="A72" t="str">
            <v>SAFIAG</v>
          </cell>
          <cell r="D72" t="str">
            <v>GBp</v>
          </cell>
          <cell r="E72">
            <v>45912.644570450779</v>
          </cell>
          <cell r="F72">
            <v>382.3</v>
          </cell>
          <cell r="G72">
            <v>384.6</v>
          </cell>
          <cell r="H72">
            <v>382</v>
          </cell>
          <cell r="I72">
            <v>379.3</v>
          </cell>
          <cell r="J72">
            <v>386.8</v>
          </cell>
          <cell r="K72">
            <v>6.8887999999999998</v>
          </cell>
          <cell r="L72">
            <v>-0.3</v>
          </cell>
          <cell r="M72">
            <v>-7.8469999999999994E-4</v>
          </cell>
          <cell r="N72">
            <v>187</v>
          </cell>
          <cell r="O72">
            <v>398.7</v>
          </cell>
          <cell r="P72">
            <v>11153264</v>
          </cell>
          <cell r="Q72">
            <v>14227630</v>
          </cell>
          <cell r="R72">
            <v>2.8010999999999999</v>
          </cell>
        </row>
        <row r="73">
          <cell r="A73" t="str">
            <v>SAFMRNA</v>
          </cell>
          <cell r="D73" t="str">
            <v>USD</v>
          </cell>
          <cell r="E73">
            <v>45912.856650265625</v>
          </cell>
          <cell r="F73">
            <v>25.39</v>
          </cell>
          <cell r="G73">
            <v>25.225000000000001</v>
          </cell>
          <cell r="H73">
            <v>23.51</v>
          </cell>
          <cell r="I73">
            <v>23.18</v>
          </cell>
          <cell r="J73">
            <v>25.414999999999999</v>
          </cell>
          <cell r="K73">
            <v>0</v>
          </cell>
          <cell r="L73">
            <v>-1.88</v>
          </cell>
          <cell r="M73">
            <v>-7.4045E-2</v>
          </cell>
          <cell r="N73">
            <v>23.15</v>
          </cell>
          <cell r="O73">
            <v>75.371399999999994</v>
          </cell>
          <cell r="P73">
            <v>31149393</v>
          </cell>
          <cell r="Q73">
            <v>9797621</v>
          </cell>
          <cell r="R73">
            <v>2.0053999999999998</v>
          </cell>
        </row>
        <row r="74">
          <cell r="A74" t="str">
            <v>BLNK</v>
          </cell>
          <cell r="D74" t="str">
            <v>USD</v>
          </cell>
          <cell r="E74">
            <v>45912.856228344528</v>
          </cell>
          <cell r="F74">
            <v>1.25</v>
          </cell>
          <cell r="G74">
            <v>1.26</v>
          </cell>
          <cell r="H74">
            <v>1.34</v>
          </cell>
          <cell r="I74">
            <v>1.22</v>
          </cell>
          <cell r="J74">
            <v>1.36</v>
          </cell>
          <cell r="K74">
            <v>0</v>
          </cell>
          <cell r="L74">
            <v>0.09</v>
          </cell>
          <cell r="M74">
            <v>7.2000000000000008E-2</v>
          </cell>
          <cell r="N74">
            <v>0.63009999999999999</v>
          </cell>
          <cell r="O74">
            <v>2.3199999999999998</v>
          </cell>
          <cell r="P74">
            <v>5060096</v>
          </cell>
          <cell r="Q74">
            <v>3147242</v>
          </cell>
          <cell r="R74">
            <v>3.4861</v>
          </cell>
        </row>
        <row r="75">
          <cell r="A75" t="str">
            <v>ENI</v>
          </cell>
          <cell r="D75" t="str">
            <v>EUR</v>
          </cell>
          <cell r="E75">
            <v>45912.666666666664</v>
          </cell>
          <cell r="F75">
            <v>14.922000000000001</v>
          </cell>
          <cell r="G75">
            <v>14.83</v>
          </cell>
          <cell r="H75">
            <v>14.882</v>
          </cell>
          <cell r="I75">
            <v>14.82</v>
          </cell>
          <cell r="J75">
            <v>14.994</v>
          </cell>
          <cell r="K75">
            <v>18.5932</v>
          </cell>
          <cell r="L75">
            <v>-0.04</v>
          </cell>
          <cell r="M75">
            <v>-2.6810000000000002E-3</v>
          </cell>
          <cell r="N75">
            <v>11.01</v>
          </cell>
          <cell r="O75">
            <v>15.39</v>
          </cell>
          <cell r="P75">
            <v>7442315</v>
          </cell>
          <cell r="Q75">
            <v>10162250</v>
          </cell>
          <cell r="R75">
            <v>1.1014999999999999</v>
          </cell>
        </row>
        <row r="76">
          <cell r="A76" t="str">
            <v>EZJ</v>
          </cell>
          <cell r="D76" t="str">
            <v>GBp</v>
          </cell>
          <cell r="E76">
            <v>45912.640255358594</v>
          </cell>
          <cell r="F76">
            <v>465.6</v>
          </cell>
          <cell r="G76">
            <v>468.5</v>
          </cell>
          <cell r="H76">
            <v>469.3</v>
          </cell>
          <cell r="I76">
            <v>463.6</v>
          </cell>
          <cell r="J76">
            <v>470</v>
          </cell>
          <cell r="K76">
            <v>8.4771000000000001</v>
          </cell>
          <cell r="L76">
            <v>3.7</v>
          </cell>
          <cell r="M76">
            <v>7.9469999999999992E-3</v>
          </cell>
          <cell r="N76">
            <v>401.05</v>
          </cell>
          <cell r="O76">
            <v>594</v>
          </cell>
          <cell r="P76">
            <v>2802348</v>
          </cell>
          <cell r="Q76">
            <v>4286400</v>
          </cell>
          <cell r="R76">
            <v>2.786</v>
          </cell>
        </row>
        <row r="77">
          <cell r="A77" t="str">
            <v>F</v>
          </cell>
          <cell r="D77" t="str">
            <v>USD</v>
          </cell>
          <cell r="E77">
            <v>45912.856394767972</v>
          </cell>
          <cell r="F77">
            <v>11.76</v>
          </cell>
          <cell r="G77">
            <v>11.754</v>
          </cell>
          <cell r="H77">
            <v>11.68</v>
          </cell>
          <cell r="I77">
            <v>11.66</v>
          </cell>
          <cell r="J77">
            <v>11.81</v>
          </cell>
          <cell r="K77">
            <v>14.9361</v>
          </cell>
          <cell r="L77">
            <v>-0.08</v>
          </cell>
          <cell r="M77">
            <v>-6.803E-3</v>
          </cell>
          <cell r="N77">
            <v>8.4405999999999999</v>
          </cell>
          <cell r="O77">
            <v>11.99</v>
          </cell>
          <cell r="P77">
            <v>50049761</v>
          </cell>
          <cell r="Q77">
            <v>51484361</v>
          </cell>
          <cell r="R77">
            <v>1.5385</v>
          </cell>
        </row>
        <row r="78">
          <cell r="A78" t="str">
            <v>GLE</v>
          </cell>
          <cell r="D78" t="str">
            <v>EUR</v>
          </cell>
          <cell r="E78">
            <v>45912.666666666664</v>
          </cell>
          <cell r="F78">
            <v>57.6</v>
          </cell>
          <cell r="G78">
            <v>57.8</v>
          </cell>
          <cell r="H78">
            <v>57.26</v>
          </cell>
          <cell r="I78">
            <v>56.58</v>
          </cell>
          <cell r="J78">
            <v>57.92</v>
          </cell>
          <cell r="K78">
            <v>9.5901999999999994</v>
          </cell>
          <cell r="L78">
            <v>-0.34</v>
          </cell>
          <cell r="M78">
            <v>-5.9030000000000003E-3</v>
          </cell>
          <cell r="N78">
            <v>21.55</v>
          </cell>
          <cell r="O78">
            <v>59.42</v>
          </cell>
          <cell r="P78">
            <v>1618932</v>
          </cell>
          <cell r="Q78">
            <v>2413200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45912.855574293753</v>
          </cell>
          <cell r="F79">
            <v>187.86</v>
          </cell>
          <cell r="G79">
            <v>187.67</v>
          </cell>
          <cell r="H79">
            <v>184.37</v>
          </cell>
          <cell r="I79">
            <v>184.34</v>
          </cell>
          <cell r="J79">
            <v>189.05</v>
          </cell>
          <cell r="K79">
            <v>30.615100000000002</v>
          </cell>
          <cell r="L79">
            <v>-3.49</v>
          </cell>
          <cell r="M79">
            <v>-1.8577999999999997E-2</v>
          </cell>
          <cell r="N79">
            <v>99.5</v>
          </cell>
          <cell r="O79">
            <v>203.2499</v>
          </cell>
          <cell r="P79">
            <v>697868</v>
          </cell>
          <cell r="Q79">
            <v>847333</v>
          </cell>
          <cell r="R79">
            <v>1.67</v>
          </cell>
        </row>
        <row r="80">
          <cell r="A80" t="str">
            <v>GS</v>
          </cell>
          <cell r="D80" t="str">
            <v>USD</v>
          </cell>
          <cell r="E80">
            <v>45912.853591874999</v>
          </cell>
          <cell r="F80">
            <v>784.73</v>
          </cell>
          <cell r="G80">
            <v>783.5</v>
          </cell>
          <cell r="H80">
            <v>779.79300000000001</v>
          </cell>
          <cell r="I80">
            <v>776.2577</v>
          </cell>
          <cell r="J80">
            <v>787.03</v>
          </cell>
          <cell r="K80">
            <v>17.184699999999999</v>
          </cell>
          <cell r="L80">
            <v>-4.9370000000000003</v>
          </cell>
          <cell r="M80">
            <v>-6.2909999999999997E-3</v>
          </cell>
          <cell r="N80">
            <v>439.38</v>
          </cell>
          <cell r="O80">
            <v>793.17</v>
          </cell>
          <cell r="P80">
            <v>1099031</v>
          </cell>
          <cell r="Q80">
            <v>1680804</v>
          </cell>
          <cell r="R80">
            <v>1.4144000000000001</v>
          </cell>
        </row>
        <row r="81">
          <cell r="A81" t="str">
            <v>LAZR</v>
          </cell>
          <cell r="D81" t="str">
            <v>USD</v>
          </cell>
          <cell r="E81">
            <v>45912.856546481249</v>
          </cell>
          <cell r="F81">
            <v>1.77</v>
          </cell>
          <cell r="G81">
            <v>1.7949999999999999</v>
          </cell>
          <cell r="H81">
            <v>1.88</v>
          </cell>
          <cell r="I81">
            <v>1.7535000000000001</v>
          </cell>
          <cell r="J81">
            <v>1.91</v>
          </cell>
          <cell r="K81">
            <v>0</v>
          </cell>
          <cell r="L81">
            <v>0.11</v>
          </cell>
          <cell r="M81">
            <v>6.2146999999999994E-2</v>
          </cell>
          <cell r="N81">
            <v>1.58</v>
          </cell>
          <cell r="O81">
            <v>18.600000000000001</v>
          </cell>
          <cell r="P81">
            <v>2863105</v>
          </cell>
          <cell r="Q81">
            <v>3914996</v>
          </cell>
          <cell r="R81">
            <v>2.0295999999999998</v>
          </cell>
        </row>
        <row r="82">
          <cell r="A82" t="str">
            <v>LUV</v>
          </cell>
          <cell r="D82" t="str">
            <v>USD</v>
          </cell>
          <cell r="E82">
            <v>45912.855863055469</v>
          </cell>
          <cell r="F82">
            <v>31.72</v>
          </cell>
          <cell r="G82">
            <v>31.87</v>
          </cell>
          <cell r="H82">
            <v>31.664999999999999</v>
          </cell>
          <cell r="I82">
            <v>31.54</v>
          </cell>
          <cell r="J82">
            <v>32.454999999999998</v>
          </cell>
          <cell r="K82">
            <v>38.013199999999998</v>
          </cell>
          <cell r="L82">
            <v>-5.5E-2</v>
          </cell>
          <cell r="M82">
            <v>-1.7340000000000001E-3</v>
          </cell>
          <cell r="N82">
            <v>23.815000000000001</v>
          </cell>
          <cell r="O82">
            <v>37.96</v>
          </cell>
          <cell r="P82">
            <v>10395657</v>
          </cell>
          <cell r="Q82">
            <v>7300382</v>
          </cell>
          <cell r="R82">
            <v>1.2088000000000001</v>
          </cell>
        </row>
        <row r="83">
          <cell r="A83" t="str">
            <v>MA</v>
          </cell>
          <cell r="D83" t="str">
            <v>USD</v>
          </cell>
          <cell r="E83">
            <v>45912.85604173594</v>
          </cell>
          <cell r="F83">
            <v>588.73</v>
          </cell>
          <cell r="G83">
            <v>586.44000000000005</v>
          </cell>
          <cell r="H83">
            <v>580.88</v>
          </cell>
          <cell r="I83">
            <v>580</v>
          </cell>
          <cell r="J83">
            <v>589.21</v>
          </cell>
          <cell r="K83">
            <v>39.173999999999999</v>
          </cell>
          <cell r="L83">
            <v>-7.85</v>
          </cell>
          <cell r="M83">
            <v>-1.3333999999999999E-2</v>
          </cell>
          <cell r="N83">
            <v>465.59</v>
          </cell>
          <cell r="O83">
            <v>601.77</v>
          </cell>
          <cell r="P83">
            <v>2241605</v>
          </cell>
          <cell r="Q83">
            <v>2385039</v>
          </cell>
          <cell r="R83">
            <v>0.98029999999999995</v>
          </cell>
        </row>
        <row r="84">
          <cell r="A84" t="str">
            <v>NVAX</v>
          </cell>
          <cell r="D84" t="str">
            <v>USD</v>
          </cell>
          <cell r="E84">
            <v>45912.856271735938</v>
          </cell>
          <cell r="F84">
            <v>8.2799999999999994</v>
          </cell>
          <cell r="G84">
            <v>8.2100000000000009</v>
          </cell>
          <cell r="H84">
            <v>7.98</v>
          </cell>
          <cell r="I84">
            <v>7.83</v>
          </cell>
          <cell r="J84">
            <v>8.2899999999999991</v>
          </cell>
          <cell r="K84">
            <v>3.6200999999999999</v>
          </cell>
          <cell r="L84">
            <v>-0.3</v>
          </cell>
          <cell r="M84">
            <v>-3.6232E-2</v>
          </cell>
          <cell r="N84">
            <v>5.01</v>
          </cell>
          <cell r="O84">
            <v>15.22</v>
          </cell>
          <cell r="P84">
            <v>7148849</v>
          </cell>
          <cell r="Q84">
            <v>7674292</v>
          </cell>
          <cell r="R84">
            <v>2.734</v>
          </cell>
        </row>
        <row r="85">
          <cell r="A85" t="str">
            <v>NVS</v>
          </cell>
          <cell r="D85" t="str">
            <v>USD</v>
          </cell>
          <cell r="E85">
            <v>45912.850967291408</v>
          </cell>
          <cell r="F85">
            <v>127.7</v>
          </cell>
          <cell r="G85">
            <v>123.86</v>
          </cell>
          <cell r="H85">
            <v>124.125</v>
          </cell>
          <cell r="I85">
            <v>123.47</v>
          </cell>
          <cell r="J85">
            <v>125.14</v>
          </cell>
          <cell r="K85">
            <v>18.092700000000001</v>
          </cell>
          <cell r="L85">
            <v>-3.5750000000000002</v>
          </cell>
          <cell r="M85">
            <v>-2.7995000000000003E-2</v>
          </cell>
          <cell r="N85">
            <v>96.061999999999998</v>
          </cell>
          <cell r="O85">
            <v>130.46</v>
          </cell>
          <cell r="P85">
            <v>1860957</v>
          </cell>
          <cell r="Q85">
            <v>1157588</v>
          </cell>
          <cell r="R85">
            <v>0.63429999999999997</v>
          </cell>
        </row>
        <row r="86">
          <cell r="A86" t="str">
            <v>ORA</v>
          </cell>
          <cell r="D86" t="str">
            <v>EUR</v>
          </cell>
          <cell r="E86">
            <v>45912.666666666664</v>
          </cell>
          <cell r="F86">
            <v>13.89</v>
          </cell>
          <cell r="G86">
            <v>13.945</v>
          </cell>
          <cell r="H86">
            <v>13.9</v>
          </cell>
          <cell r="I86">
            <v>13.845000000000001</v>
          </cell>
          <cell r="J86">
            <v>13.95</v>
          </cell>
          <cell r="K86">
            <v>43.904000000000003</v>
          </cell>
          <cell r="L86">
            <v>0.01</v>
          </cell>
          <cell r="M86">
            <v>7.1989999999999999E-4</v>
          </cell>
          <cell r="N86">
            <v>9.3699999999999992</v>
          </cell>
          <cell r="O86">
            <v>14.56</v>
          </cell>
          <cell r="P86">
            <v>2095933</v>
          </cell>
          <cell r="Q86">
            <v>4277840</v>
          </cell>
          <cell r="R86">
            <v>0.27439999999999998</v>
          </cell>
        </row>
        <row r="87">
          <cell r="A87" t="str">
            <v>OXY</v>
          </cell>
          <cell r="D87" t="str">
            <v>USD</v>
          </cell>
          <cell r="E87">
            <v>45912.85660352969</v>
          </cell>
          <cell r="F87">
            <v>46.02</v>
          </cell>
          <cell r="G87">
            <v>46.26</v>
          </cell>
          <cell r="H87">
            <v>45.66</v>
          </cell>
          <cell r="I87">
            <v>45.655000000000001</v>
          </cell>
          <cell r="J87">
            <v>46.55</v>
          </cell>
          <cell r="K87">
            <v>26.895199999999999</v>
          </cell>
          <cell r="L87">
            <v>-0.36</v>
          </cell>
          <cell r="M87">
            <v>-7.8230000000000001E-3</v>
          </cell>
          <cell r="N87">
            <v>34.784999999999997</v>
          </cell>
          <cell r="O87">
            <v>56.49</v>
          </cell>
          <cell r="P87">
            <v>5316948</v>
          </cell>
          <cell r="Q87">
            <v>8650520</v>
          </cell>
          <cell r="R87">
            <v>0.95840000000000003</v>
          </cell>
        </row>
        <row r="88">
          <cell r="A88" t="str">
            <v>PFE</v>
          </cell>
          <cell r="D88" t="str">
            <v>USD</v>
          </cell>
          <cell r="E88">
            <v>45912.856603830471</v>
          </cell>
          <cell r="F88">
            <v>24.86</v>
          </cell>
          <cell r="G88">
            <v>24.81</v>
          </cell>
          <cell r="H88">
            <v>23.88</v>
          </cell>
          <cell r="I88">
            <v>23.84</v>
          </cell>
          <cell r="J88">
            <v>24.84</v>
          </cell>
          <cell r="K88">
            <v>17.3169</v>
          </cell>
          <cell r="L88">
            <v>-0.98</v>
          </cell>
          <cell r="M88">
            <v>-3.9420999999999998E-2</v>
          </cell>
          <cell r="N88">
            <v>20.914999999999999</v>
          </cell>
          <cell r="O88">
            <v>30.43</v>
          </cell>
          <cell r="P88">
            <v>81074748</v>
          </cell>
          <cell r="Q88">
            <v>37080558</v>
          </cell>
          <cell r="R88">
            <v>0.50749999999999995</v>
          </cell>
        </row>
        <row r="89">
          <cell r="A89" t="str">
            <v>RIG</v>
          </cell>
          <cell r="D89" t="str">
            <v>USD</v>
          </cell>
          <cell r="E89">
            <v>45912.855192950781</v>
          </cell>
          <cell r="F89">
            <v>3.26</v>
          </cell>
          <cell r="G89">
            <v>3.28</v>
          </cell>
          <cell r="H89">
            <v>3.3050000000000002</v>
          </cell>
          <cell r="I89">
            <v>3.24</v>
          </cell>
          <cell r="J89">
            <v>3.33</v>
          </cell>
          <cell r="K89">
            <v>99</v>
          </cell>
          <cell r="L89">
            <v>4.4999999999999998E-2</v>
          </cell>
          <cell r="M89">
            <v>1.3804E-2</v>
          </cell>
          <cell r="N89">
            <v>1.97</v>
          </cell>
          <cell r="O89">
            <v>4.76</v>
          </cell>
          <cell r="P89">
            <v>25770950</v>
          </cell>
          <cell r="Q89">
            <v>21588861</v>
          </cell>
          <cell r="R89">
            <v>2.6903999999999999</v>
          </cell>
        </row>
        <row r="90">
          <cell r="A90" t="str">
            <v>RRC</v>
          </cell>
          <cell r="D90" t="str">
            <v>USD</v>
          </cell>
          <cell r="E90">
            <v>45912.840323263285</v>
          </cell>
          <cell r="F90">
            <v>35.090000000000003</v>
          </cell>
          <cell r="G90">
            <v>35.380000000000003</v>
          </cell>
          <cell r="H90">
            <v>35.299999999999997</v>
          </cell>
          <cell r="I90">
            <v>35.21</v>
          </cell>
          <cell r="J90">
            <v>35.76</v>
          </cell>
          <cell r="K90">
            <v>31.656400000000001</v>
          </cell>
          <cell r="L90">
            <v>0.21</v>
          </cell>
          <cell r="M90">
            <v>5.9850000000000007E-3</v>
          </cell>
          <cell r="N90">
            <v>28.417999999999999</v>
          </cell>
          <cell r="O90">
            <v>43.5</v>
          </cell>
          <cell r="P90">
            <v>3566181</v>
          </cell>
          <cell r="Q90">
            <v>2562059</v>
          </cell>
          <cell r="R90">
            <v>0.50390000000000001</v>
          </cell>
        </row>
        <row r="91">
          <cell r="A91" t="str">
            <v>XYZ</v>
          </cell>
          <cell r="D91" t="str">
            <v>USD</v>
          </cell>
          <cell r="E91">
            <v>45912.856617534373</v>
          </cell>
          <cell r="F91">
            <v>74.23</v>
          </cell>
          <cell r="G91">
            <v>73.599999999999994</v>
          </cell>
          <cell r="H91">
            <v>72.86</v>
          </cell>
          <cell r="I91">
            <v>72.844999999999999</v>
          </cell>
          <cell r="J91">
            <v>74.215000000000003</v>
          </cell>
          <cell r="K91">
            <v>43.0259</v>
          </cell>
          <cell r="L91">
            <v>-1.37</v>
          </cell>
          <cell r="M91">
            <v>-1.8456E-2</v>
          </cell>
          <cell r="N91">
            <v>44.27</v>
          </cell>
          <cell r="O91">
            <v>99.26</v>
          </cell>
          <cell r="P91">
            <v>4613633</v>
          </cell>
          <cell r="Q91">
            <v>7288569</v>
          </cell>
          <cell r="R91">
            <v>2.7383000000000002</v>
          </cell>
        </row>
        <row r="92">
          <cell r="A92" t="str">
            <v>THC</v>
          </cell>
          <cell r="D92" t="str">
            <v>USD</v>
          </cell>
          <cell r="E92">
            <v>45912.854751700783</v>
          </cell>
          <cell r="F92">
            <v>193.38</v>
          </cell>
          <cell r="G92">
            <v>192.02</v>
          </cell>
          <cell r="H92">
            <v>192.67</v>
          </cell>
          <cell r="I92">
            <v>191.36500000000001</v>
          </cell>
          <cell r="J92">
            <v>193.42</v>
          </cell>
          <cell r="K92">
            <v>12.739000000000001</v>
          </cell>
          <cell r="L92">
            <v>-0.71</v>
          </cell>
          <cell r="M92">
            <v>-3.6720000000000004E-3</v>
          </cell>
          <cell r="N92">
            <v>109.82389999999999</v>
          </cell>
          <cell r="O92">
            <v>199.99</v>
          </cell>
          <cell r="P92">
            <v>850398</v>
          </cell>
          <cell r="Q92">
            <v>1049625</v>
          </cell>
          <cell r="R92">
            <v>1.5185999999999999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45912.770833333336</v>
          </cell>
          <cell r="F94">
            <v>15.295</v>
          </cell>
          <cell r="G94">
            <v>15.35</v>
          </cell>
          <cell r="H94">
            <v>15.525</v>
          </cell>
          <cell r="I94">
            <v>15.33</v>
          </cell>
          <cell r="J94">
            <v>15.6</v>
          </cell>
          <cell r="K94">
            <v>12.857100000000001</v>
          </cell>
          <cell r="L94">
            <v>0.23</v>
          </cell>
          <cell r="M94">
            <v>1.5038000000000001E-2</v>
          </cell>
          <cell r="N94">
            <v>10.435</v>
          </cell>
          <cell r="O94">
            <v>16.55</v>
          </cell>
          <cell r="P94">
            <v>5059905</v>
          </cell>
          <cell r="Q94">
            <v>3992280</v>
          </cell>
          <cell r="R94">
            <v>0.71130000000000004</v>
          </cell>
        </row>
        <row r="95">
          <cell r="A95" t="str">
            <v>LOCK</v>
          </cell>
          <cell r="E95">
            <v>45912.731348622656</v>
          </cell>
          <cell r="F95">
            <v>10.398</v>
          </cell>
          <cell r="G95">
            <v>10.375999999999999</v>
          </cell>
          <cell r="H95">
            <v>10.301</v>
          </cell>
          <cell r="I95">
            <v>10.3</v>
          </cell>
          <cell r="J95">
            <v>10.396000000000001</v>
          </cell>
          <cell r="K95">
            <v>99</v>
          </cell>
          <cell r="L95">
            <v>-9.7000000000000003E-2</v>
          </cell>
          <cell r="M95">
            <v>-9.3289999999999988E-3</v>
          </cell>
          <cell r="N95">
            <v>7.351</v>
          </cell>
          <cell r="O95">
            <v>10.398</v>
          </cell>
          <cell r="P95">
            <v>102675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3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</a>
  <a r="1" c="173">
    <v>379.28</v>
    <v>410.44</v>
    <v>411.05</v>
    <v>394.36</v>
    <v>394.94</v>
    <v>394.74</v>
    <v>403.31</v>
    <v>396.36</v>
    <v>428.22</v>
    <v>413.82</v>
    <v>426.5</v>
    <v>424.07</v>
    <v>415.11</v>
    <v>412.38</v>
    <v>406.58</v>
    <v>397.15</v>
    <v>398.09</v>
    <v>389.1</v>
    <v>400.28</v>
    <v>404.6</v>
    <v>383.68</v>
    <v>392.21</v>
    <v>378.17</v>
    <v>374.32</v>
    <v>361.62</v>
    <v>350.73</v>
    <v>328.5</v>
    <v>336.51</v>
    <v>355.94</v>
    <v>355.84</v>
    <v>354.11</v>
    <v>360.56</v>
    <v>354.4</v>
    <v>337.8</v>
    <v>330.53</v>
    <v>302.8</v>
    <v>290.8</v>
    <v>281.95</v>
    <v>292.98</v>
    <v>284.64999999999998</v>
    <v>272.04000000000002</v>
    <v>279.10000000000002</v>
    <v>263.45</v>
    <v>262.67</v>
    <v>222.15</v>
    <v>230.58</v>
    <v>248.09</v>
    <v>240.68</v>
    <v>249.98</v>
    <v>238.01</v>
    <v>225.31</v>
    <v>235.86</v>
    <v>236.26</v>
    <v>248.71</v>
    <v>278.39</v>
    <v>288.14</v>
    <v>272.06</v>
    <v>273.13</v>
    <v>263.55</v>
    <v>259.16000000000003</v>
    <v>268.45999999999998</v>
    <v>282.76</v>
    <v>267.27999999999997</v>
    <v>239.43</v>
    <v>233.29</v>
    <v>221.86</v>
    <v>272.2</v>
    <v>252.4</v>
    <v>252.31</v>
    <v>252.35</v>
    <v>254.11</v>
    <v>241.55</v>
    <v>241.37</v>
    <v>227.5</v>
    <v>237.97</v>
    <v>250.74</v>
    <v>259.51</v>
    <v>284.95</v>
    <v>285.88</v>
    <v>292.02999999999997</v>
    <v>282.16000000000003</v>
    <v>280.52</v>
    <v>287.20999999999998</v>
    <v>280.26</v>
    <v>275.35000000000002</v>
    <v>276.22000000000003</v>
    <v>284.82</v>
    <v>298.26</v>
    <v>318.38</v>
    <v>334.07</v>
    <v>347.68</v>
    <v>342.82</v>
    <v>349.98</v>
    <v>342.09</v>
    <v>343.82</v>
    <v>334.62</v>
    <v>341.04</v>
    <v>339.34</v>
    <v>362.89</v>
    <v>356.9</v>
    <v>358.43</v>
    <v>346.46</v>
    <v>342.69</v>
    <v>344.27</v>
    <v>332.05</v>
    <v>284.7</v>
    <v>295.14</v>
    <v>308.58</v>
    <v>326.08999999999997</v>
    <v>326.43</v>
    <v>319.11</v>
    <v>325.31</v>
    <v>329.13</v>
    <v>316.35000000000002</v>
    <v>322.05</v>
    <v>322.16000000000003</v>
    <v>348.68</v>
    <v>340.47</v>
    <v>327.55</v>
    <v>325.77999999999997</v>
    <v>323.63</v>
    <v>317.66000000000003</v>
    <v>300.70999999999998</v>
    <v>315.64999999999998</v>
    <v>315.35000000000002</v>
    <v>293.94</v>
    <v>297.81</v>
    <v>295.88</v>
    <v>309.87</v>
    <v>313.51</v>
    <v>316.89999999999998</v>
    <v>310.77999999999997</v>
    <v>321.67</v>
    <v>319.41000000000003</v>
    <v>329.65</v>
    <v>328.49</v>
    <v>332.11</v>
    <v>332.56</v>
    <v>305.3</v>
    <v>316.06</v>
    <v>325.58999999999997</v>
    <v>321.2</v>
    <v>319.04000000000002</v>
    <v>308.27</v>
    <v>302.63</v>
    <v>309.26</v>
    <v>308.72000000000003</v>
    <v>319.91000000000003</v>
    <v>322.27</v>
    <v>329.65</v>
    <v>339.03</v>
    <v>340.84</v>
    <v>339.38</v>
    <v>335.58</v>
    <v>330.56</v>
    <v>335.16</v>
    <v>329.31</v>
    <v>323.89999999999998</v>
    <v>320.11</v>
    <v>340.01</v>
    <v>346.6</v>
    <v>351.67</v>
    <v>349.6</v>
    <v>345.98</v>
    <v>333.87</v>
    <v>329.36</v>
    <v>334.09</v>
    <v>338.53</v>
    <v>350.84</v>
    <v>346.4</v>
    <v>346.97</v>
    <v>347.79</v>
    <v>368.81</v>
  </a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410.44</v>
    <v>411.05</v>
    <v>394.36</v>
    <v>394.94</v>
    <v>394.74</v>
    <v>403.31</v>
    <v>396.36</v>
    <v>428.22</v>
    <v>413.82</v>
    <v>426.5</v>
    <v>424.07</v>
    <v>415.11</v>
    <v>412.38</v>
    <v>406.58</v>
    <v>397.15</v>
    <v>398.09</v>
    <v>389.1</v>
    <v>400.28</v>
    <v>404.6</v>
    <v>383.68</v>
    <v>392.21</v>
    <v>378.17</v>
    <v>374.32</v>
    <v>361.62</v>
    <v>350.73</v>
    <v>328.5</v>
    <v>336.51</v>
    <v>355.94</v>
    <v>355.84</v>
    <v>354.11</v>
    <v>360.56</v>
    <v>354.4</v>
    <v>337.8</v>
    <v>330.53</v>
    <v>302.8</v>
    <v>290.8</v>
    <v>281.95</v>
    <v>292.98</v>
    <v>284.64999999999998</v>
    <v>272.04000000000002</v>
    <v>279.10000000000002</v>
    <v>263.45</v>
    <v>262.67</v>
    <v>222.15</v>
    <v>230.58</v>
    <v>248.09</v>
    <v>240.68</v>
    <v>249.98</v>
    <v>238.01</v>
    <v>225.31</v>
    <v>235.86</v>
    <v>236.26</v>
    <v>248.71</v>
    <v>278.39</v>
    <v>288.14</v>
    <v>272.06</v>
    <v>273.13</v>
    <v>263.55</v>
    <v>259.16000000000003</v>
    <v>268.45999999999998</v>
    <v>282.76</v>
    <v>267.27999999999997</v>
    <v>239.43</v>
    <v>233.29</v>
    <v>221.86</v>
    <v>272.2</v>
    <v>252.4</v>
    <v>252.31</v>
    <v>252.35</v>
    <v>254.11</v>
    <v>241.55</v>
    <v>241.37</v>
    <v>227.5</v>
    <v>237.97</v>
    <v>250.74</v>
    <v>259.51</v>
    <v>284.95</v>
    <v>285.88</v>
    <v>292.02999999999997</v>
    <v>282.16000000000003</v>
    <v>280.52</v>
    <v>287.20999999999998</v>
    <v>280.26</v>
    <v>275.35000000000002</v>
    <v>276.22000000000003</v>
    <v>284.82</v>
    <v>298.26</v>
    <v>318.38</v>
    <v>334.07</v>
    <v>347.68</v>
    <v>342.82</v>
    <v>349.98</v>
    <v>342.09</v>
    <v>343.82</v>
    <v>334.62</v>
    <v>341.04</v>
    <v>339.34</v>
    <v>362.89</v>
    <v>356.9</v>
    <v>358.43</v>
    <v>346.46</v>
    <v>342.69</v>
    <v>344.27</v>
    <v>332.05</v>
    <v>284.7</v>
    <v>295.14</v>
    <v>308.58</v>
    <v>326.08999999999997</v>
    <v>326.43</v>
    <v>319.11</v>
    <v>325.31</v>
    <v>329.13</v>
    <v>316.35000000000002</v>
    <v>322.05</v>
    <v>322.16000000000003</v>
    <v>348.68</v>
    <v>340.47</v>
    <v>327.55</v>
    <v>325.77999999999997</v>
    <v>323.63</v>
    <v>317.66000000000003</v>
    <v>300.70999999999998</v>
    <v>315.64999999999998</v>
    <v>315.35000000000002</v>
    <v>293.94</v>
    <v>297.81</v>
    <v>295.88</v>
    <v>309.87</v>
    <v>313.51</v>
    <v>316.89999999999998</v>
    <v>310.77999999999997</v>
    <v>321.67</v>
    <v>319.41000000000003</v>
    <v>329.65</v>
    <v>328.49</v>
    <v>332.11</v>
    <v>332.56</v>
    <v>305.3</v>
    <v>316.06</v>
    <v>325.58999999999997</v>
    <v>321.2</v>
    <v>319.04000000000002</v>
    <v>308.27</v>
    <v>302.63</v>
    <v>309.26</v>
    <v>308.72000000000003</v>
    <v>319.91000000000003</v>
    <v>322.27</v>
    <v>329.65</v>
    <v>339.03</v>
    <v>340.84</v>
    <v>339.38</v>
    <v>335.58</v>
    <v>330.56</v>
    <v>335.16</v>
  </a>
</arrayData>
</file>

<file path=xl/richData/rdrichvalue.xml><?xml version="1.0" encoding="utf-8"?>
<rvData xmlns="http://schemas.microsoft.com/office/spreadsheetml/2017/richdata" count="349">
  <rv s="0">
    <fb>45911</fb>
    <v>0</v>
  </rv>
  <rv s="0">
    <fb>368.81</fb>
    <v>1</v>
  </rv>
  <rv s="0">
    <fb>45659</fb>
    <v>0</v>
  </rv>
  <rv s="0">
    <fb>379.28</fb>
    <v>1</v>
  </rv>
  <rv s="0">
    <fb>410.44</fb>
    <v>1</v>
  </rv>
  <rv s="0">
    <fb>45910</fb>
    <v>0</v>
  </rv>
  <rv s="0">
    <fb>347.79</fb>
    <v>1</v>
  </rv>
  <rv s="0">
    <fb>45660</fb>
    <v>0</v>
  </rv>
  <rv s="0">
    <fb>411.05</fb>
    <v>1</v>
  </rv>
  <rv s="0">
    <fb>45909</fb>
    <v>0</v>
  </rv>
  <rv s="0">
    <fb>346.97</fb>
    <v>1</v>
  </rv>
  <rv s="0">
    <fb>45663</fb>
    <v>0</v>
  </rv>
  <rv s="0">
    <fb>394.36</fb>
    <v>1</v>
  </rv>
  <rv s="0">
    <fb>45908</fb>
    <v>0</v>
  </rv>
  <rv s="0">
    <fb>346.4</fb>
    <v>1</v>
  </rv>
  <rv s="0">
    <fb>45664</fb>
    <v>0</v>
  </rv>
  <rv s="0">
    <fb>394.94</fb>
    <v>1</v>
  </rv>
  <rv s="0">
    <fb>45905</fb>
    <v>0</v>
  </rv>
  <rv s="0">
    <fb>350.84</fb>
    <v>1</v>
  </rv>
  <rv s="0">
    <fb>45665</fb>
    <v>0</v>
  </rv>
  <rv s="0">
    <fb>394.74</fb>
    <v>1</v>
  </rv>
  <rv s="0">
    <fb>45904</fb>
    <v>0</v>
  </rv>
  <rv s="0">
    <fb>338.53</fb>
    <v>1</v>
  </rv>
  <rv s="0">
    <fb>45667</fb>
    <v>0</v>
  </rv>
  <rv s="0">
    <fb>403.31</fb>
    <v>1</v>
  </rv>
  <rv s="0">
    <fb>45903</fb>
    <v>0</v>
  </rv>
  <rv s="0">
    <fb>334.09</fb>
    <v>1</v>
  </rv>
  <rv s="0">
    <fb>45670</fb>
    <v>0</v>
  </rv>
  <rv s="0">
    <fb>396.36</fb>
    <v>1</v>
  </rv>
  <rv s="0">
    <fb>45902</fb>
    <v>0</v>
  </rv>
  <rv s="0">
    <fb>329.36</fb>
    <v>1</v>
  </rv>
  <rv s="0">
    <fb>45671</fb>
    <v>0</v>
  </rv>
  <rv s="0">
    <fb>428.22</fb>
    <v>1</v>
  </rv>
  <rv s="0">
    <fb>45898</fb>
    <v>0</v>
  </rv>
  <rv s="0">
    <fb>333.87</fb>
    <v>1</v>
  </rv>
  <rv s="0">
    <fb>45672</fb>
    <v>0</v>
  </rv>
  <rv s="0">
    <fb>413.82</fb>
    <v>1</v>
  </rv>
  <rv s="0">
    <fb>45897</fb>
    <v>0</v>
  </rv>
  <rv s="0">
    <fb>345.98</fb>
    <v>1</v>
  </rv>
  <rv s="0">
    <fb>45673</fb>
    <v>0</v>
  </rv>
  <rv s="0">
    <fb>426.5</fb>
    <v>1</v>
  </rv>
  <rv s="0">
    <fb>45896</fb>
    <v>0</v>
  </rv>
  <rv s="0">
    <fb>349.6</fb>
    <v>1</v>
  </rv>
  <rv s="0">
    <fb>45674</fb>
    <v>0</v>
  </rv>
  <rv s="0">
    <fb>424.07</fb>
    <v>1</v>
  </rv>
  <rv s="0">
    <fb>45895</fb>
    <v>0</v>
  </rv>
  <rv s="0">
    <fb>351.67</fb>
    <v>1</v>
  </rv>
  <rv s="0">
    <fb>45678</fb>
    <v>0</v>
  </rv>
  <rv s="0">
    <fb>415.11</fb>
    <v>1</v>
  </rv>
  <rv s="0">
    <fb>45894</fb>
    <v>0</v>
  </rv>
  <rv s="0">
    <fb>346.6</fb>
    <v>1</v>
  </rv>
  <rv s="0">
    <fb>45679</fb>
    <v>0</v>
  </rv>
  <rv s="0">
    <fb>412.38</fb>
    <v>1</v>
  </rv>
  <rv s="0">
    <fb>45891</fb>
    <v>0</v>
  </rv>
  <rv s="0">
    <fb>340.01</fb>
    <v>1</v>
  </rv>
  <rv s="0">
    <fb>45680</fb>
    <v>0</v>
  </rv>
  <rv s="0">
    <fb>406.58</fb>
    <v>1</v>
  </rv>
  <rv s="0">
    <fb>45890</fb>
    <v>0</v>
  </rv>
  <rv s="0">
    <fb>320.11</fb>
    <v>1</v>
  </rv>
  <rv s="0">
    <fb>45681</fb>
    <v>0</v>
  </rv>
  <rv s="0">
    <fb>397.15</fb>
    <v>1</v>
  </rv>
  <rv s="0">
    <fb>45889</fb>
    <v>0</v>
  </rv>
  <rv s="0">
    <fb>323.89999999999998</fb>
    <v>1</v>
  </rv>
  <rv s="0">
    <fb>45684</fb>
    <v>0</v>
  </rv>
  <rv s="0">
    <fb>398.09</fb>
    <v>1</v>
  </rv>
  <rv s="0">
    <fb>45888</fb>
    <v>0</v>
  </rv>
  <rv s="0">
    <fb>329.31</fb>
    <v>1</v>
  </rv>
  <rv s="0">
    <fb>45685</fb>
    <v>0</v>
  </rv>
  <rv s="0">
    <fb>389.1</fb>
    <v>1</v>
  </rv>
  <rv s="0">
    <fb>45887</fb>
    <v>0</v>
  </rv>
  <rv s="0">
    <fb>335.16</fb>
    <v>1</v>
  </rv>
  <rv s="0">
    <fb>45686</fb>
    <v>0</v>
  </rv>
  <rv s="0">
    <fb>400.28</fb>
    <v>1</v>
  </rv>
  <rv s="0">
    <fb>45884</fb>
    <v>0</v>
  </rv>
  <rv s="0">
    <fb>330.56</fb>
    <v>1</v>
  </rv>
  <rv s="0">
    <fb>45687</fb>
    <v>0</v>
  </rv>
  <rv s="0">
    <fb>404.6</fb>
    <v>1</v>
  </rv>
  <rv s="0">
    <fb>45883</fb>
    <v>0</v>
  </rv>
  <rv s="0">
    <fb>335.58</fb>
    <v>1</v>
  </rv>
  <rv s="0">
    <fb>45688</fb>
    <v>0</v>
  </rv>
  <rv s="0">
    <fb>383.68</fb>
    <v>1</v>
  </rv>
  <rv s="0">
    <fb>45882</fb>
    <v>0</v>
  </rv>
  <rv s="0">
    <fb>339.38</fb>
    <v>1</v>
  </rv>
  <rv s="0">
    <fb>45691</fb>
    <v>0</v>
  </rv>
  <rv s="0">
    <fb>392.21</fb>
    <v>1</v>
  </rv>
  <rv s="0">
    <fb>45881</fb>
    <v>0</v>
  </rv>
  <rv s="0">
    <fb>340.84</fb>
    <v>1</v>
  </rv>
  <rv s="0">
    <fb>45692</fb>
    <v>0</v>
  </rv>
  <rv s="0">
    <fb>378.17</fb>
    <v>1</v>
  </rv>
  <rv s="0">
    <fb>45880</fb>
    <v>0</v>
  </rv>
  <rv s="0">
    <fb>339.03</fb>
    <v>1</v>
  </rv>
  <rv s="0">
    <fb>45693</fb>
    <v>0</v>
  </rv>
  <rv s="0">
    <fb>374.32</fb>
    <v>1</v>
  </rv>
  <rv s="0">
    <fb>45877</fb>
    <v>0</v>
  </rv>
  <rv s="0">
    <fb>329.65</fb>
    <v>1</v>
  </rv>
  <rv s="0">
    <fb>45694</fb>
    <v>0</v>
  </rv>
  <rv s="0">
    <fb>361.62</fb>
    <v>1</v>
  </rv>
  <rv s="0">
    <fb>45876</fb>
    <v>0</v>
  </rv>
  <rv s="0">
    <fb>322.27</fb>
    <v>1</v>
  </rv>
  <rv s="0">
    <fb>45695</fb>
    <v>0</v>
  </rv>
  <rv s="0">
    <fb>350.73</fb>
    <v>1</v>
  </rv>
  <rv s="0">
    <fb>45875</fb>
    <v>0</v>
  </rv>
  <rv s="0">
    <fb>319.91000000000003</fb>
    <v>1</v>
  </rv>
  <rv s="0">
    <fb>45698</fb>
    <v>0</v>
  </rv>
  <rv s="0">
    <fb>328.5</fb>
    <v>1</v>
  </rv>
  <rv s="0">
    <fb>45874</fb>
    <v>0</v>
  </rv>
  <rv s="0">
    <fb>308.72000000000003</fb>
    <v>1</v>
  </rv>
  <rv s="0">
    <fb>45699</fb>
    <v>0</v>
  </rv>
  <rv s="0">
    <fb>336.51</fb>
    <v>1</v>
  </rv>
  <rv s="0">
    <fb>45873</fb>
    <v>0</v>
  </rv>
  <rv s="0">
    <fb>309.26</fb>
    <v>1</v>
  </rv>
  <rv s="0">
    <fb>45700</fb>
    <v>0</v>
  </rv>
  <rv s="0">
    <fb>355.94</fb>
    <v>1</v>
  </rv>
  <rv s="0">
    <fb>45870</fb>
    <v>0</v>
  </rv>
  <rv s="0">
    <fb>302.63</fb>
    <v>1</v>
  </rv>
  <rv s="0">
    <fb>45701</fb>
    <v>0</v>
  </rv>
  <rv s="0">
    <fb>355.84</fb>
    <v>1</v>
  </rv>
  <rv s="0">
    <fb>45869</fb>
    <v>0</v>
  </rv>
  <rv s="0">
    <fb>308.27</fb>
    <v>1</v>
  </rv>
  <rv s="0">
    <fb>45702</fb>
    <v>0</v>
  </rv>
  <rv s="0">
    <fb>354.11</fb>
    <v>1</v>
  </rv>
  <rv s="0">
    <fb>45868</fb>
    <v>0</v>
  </rv>
  <rv s="0">
    <fb>319.04000000000002</fb>
    <v>1</v>
  </rv>
  <rv s="0">
    <fb>45706</fb>
    <v>0</v>
  </rv>
  <rv s="0">
    <fb>360.56</fb>
    <v>1</v>
  </rv>
  <rv s="0">
    <fb>45867</fb>
    <v>0</v>
  </rv>
  <rv s="0">
    <fb>321.2</fb>
    <v>1</v>
  </rv>
  <rv s="0">
    <fb>45707</fb>
    <v>0</v>
  </rv>
  <rv s="0">
    <fb>354.4</fb>
    <v>1</v>
  </rv>
  <rv s="0">
    <fb>45866</fb>
    <v>0</v>
  </rv>
  <rv s="0">
    <fb>325.58999999999997</fb>
    <v>1</v>
  </rv>
  <rv s="0">
    <fb>45708</fb>
    <v>0</v>
  </rv>
  <rv s="0">
    <fb>337.8</fb>
    <v>1</v>
  </rv>
  <rv s="0">
    <fb>45863</fb>
    <v>0</v>
  </rv>
  <rv s="0">
    <fb>316.06</fb>
    <v>1</v>
  </rv>
  <rv s="0">
    <fb>45709</fb>
    <v>0</v>
  </rv>
  <rv s="0">
    <fb>330.53</fb>
    <v>1</v>
  </rv>
  <rv s="0">
    <fb>45862</fb>
    <v>0</v>
  </rv>
  <rv s="0">
    <fb>305.3</fb>
    <v>1</v>
  </rv>
  <rv s="0">
    <fb>45712</fb>
    <v>0</v>
  </rv>
  <rv s="0">
    <fb>302.8</fb>
    <v>1</v>
  </rv>
  <rv s="0">
    <fb>45861</fb>
    <v>0</v>
  </rv>
  <rv s="0">
    <fb>332.56</fb>
    <v>1</v>
  </rv>
  <rv s="0">
    <fb>45713</fb>
    <v>0</v>
  </rv>
  <rv s="0">
    <fb>290.8</fb>
    <v>1</v>
  </rv>
  <rv s="0">
    <fb>45860</fb>
    <v>0</v>
  </rv>
  <rv s="0">
    <fb>332.11</fb>
    <v>1</v>
  </rv>
  <rv s="0">
    <fb>45714</fb>
    <v>0</v>
  </rv>
  <rv s="0">
    <fb>281.95</fb>
    <v>1</v>
  </rv>
  <rv s="0">
    <fb>45859</fb>
    <v>0</v>
  </rv>
  <rv s="0">
    <fb>328.49</fb>
    <v>1</v>
  </rv>
  <rv s="0">
    <fb>45715</fb>
    <v>0</v>
  </rv>
  <rv s="0">
    <fb>292.98</fb>
    <v>1</v>
  </rv>
  <rv s="0">
    <fb>45856</fb>
    <v>0</v>
  </rv>
  <rv s="0">
    <fb>45716</fb>
    <v>0</v>
  </rv>
  <rv s="0">
    <fb>284.64999999999998</fb>
    <v>1</v>
  </rv>
  <rv s="0">
    <fb>45855</fb>
    <v>0</v>
  </rv>
  <rv s="0">
    <fb>319.41000000000003</fb>
    <v>1</v>
  </rv>
  <rv s="0">
    <fb>45719</fb>
    <v>0</v>
  </rv>
  <rv s="0">
    <fb>272.04000000000002</fb>
    <v>1</v>
  </rv>
  <rv s="0">
    <fb>45854</fb>
    <v>0</v>
  </rv>
  <rv s="0">
    <fb>321.67</fb>
    <v>1</v>
  </rv>
  <rv s="0">
    <fb>45720</fb>
    <v>0</v>
  </rv>
  <rv s="0">
    <fb>279.10000000000002</fb>
    <v>1</v>
  </rv>
  <rv s="0">
    <fb>45853</fb>
    <v>0</v>
  </rv>
  <rv s="0">
    <fb>310.77999999999997</fb>
    <v>1</v>
  </rv>
  <rv s="0">
    <fb>45721</fb>
    <v>0</v>
  </rv>
  <rv s="0">
    <fb>263.45</fb>
    <v>1</v>
  </rv>
  <rv s="0">
    <fb>45852</fb>
    <v>0</v>
  </rv>
  <rv s="0">
    <fb>316.89999999999998</fb>
    <v>1</v>
  </rv>
  <rv s="0">
    <fb>45722</fb>
    <v>0</v>
  </rv>
  <rv s="0">
    <fb>262.67</fb>
    <v>1</v>
  </rv>
  <rv s="0">
    <fb>45849</fb>
    <v>0</v>
  </rv>
  <rv s="0">
    <fb>313.51</fb>
    <v>1</v>
  </rv>
  <rv s="0">
    <fb>45723</fb>
    <v>0</v>
  </rv>
  <rv s="0">
    <fb>222.15</fb>
    <v>1</v>
  </rv>
  <rv s="0">
    <fb>45848</fb>
    <v>0</v>
  </rv>
  <rv s="0">
    <fb>309.87</fb>
    <v>1</v>
  </rv>
  <rv s="0">
    <fb>45726</fb>
    <v>0</v>
  </rv>
  <rv s="0">
    <fb>230.58</fb>
    <v>1</v>
  </rv>
  <rv s="0">
    <fb>45847</fb>
    <v>0</v>
  </rv>
  <rv s="0">
    <fb>295.88</fb>
    <v>1</v>
  </rv>
  <rv s="0">
    <fb>45727</fb>
    <v>0</v>
  </rv>
  <rv s="0">
    <fb>248.09</fb>
    <v>1</v>
  </rv>
  <rv s="0">
    <fb>45846</fb>
    <v>0</v>
  </rv>
  <rv s="0">
    <fb>297.81</fb>
    <v>1</v>
  </rv>
  <rv s="0">
    <fb>45728</fb>
    <v>0</v>
  </rv>
  <rv s="0">
    <fb>240.68</fb>
    <v>1</v>
  </rv>
  <rv s="0">
    <fb>45845</fb>
    <v>0</v>
  </rv>
  <rv s="0">
    <fb>293.94</fb>
    <v>1</v>
  </rv>
  <rv s="0">
    <fb>45729</fb>
    <v>0</v>
  </rv>
  <rv s="0">
    <fb>249.98</fb>
    <v>1</v>
  </rv>
  <rv s="0">
    <fb>45841</fb>
    <v>0</v>
  </rv>
  <rv s="0">
    <fb>315.35000000000002</fb>
    <v>1</v>
  </rv>
  <rv s="0">
    <fb>45730</fb>
    <v>0</v>
  </rv>
  <rv s="0">
    <fb>238.01</fb>
    <v>1</v>
  </rv>
  <rv s="0">
    <fb>45840</fb>
    <v>0</v>
  </rv>
  <rv s="0">
    <fb>315.64999999999998</fb>
    <v>1</v>
  </rv>
  <rv s="0">
    <fb>45733</fb>
    <v>0</v>
  </rv>
  <rv s="0">
    <fb>225.31</fb>
    <v>1</v>
  </rv>
  <rv s="0">
    <fb>45839</fb>
    <v>0</v>
  </rv>
  <rv s="0">
    <fb>300.70999999999998</fb>
    <v>1</v>
  </rv>
  <rv s="0">
    <fb>45734</fb>
    <v>0</v>
  </rv>
  <rv s="0">
    <fb>235.86</fb>
    <v>1</v>
  </rv>
  <rv s="0">
    <fb>45838</fb>
    <v>0</v>
  </rv>
  <rv s="0">
    <fb>317.66000000000003</fb>
    <v>1</v>
  </rv>
  <rv s="0">
    <fb>45735</fb>
    <v>0</v>
  </rv>
  <rv s="0">
    <fb>236.26</fb>
    <v>1</v>
  </rv>
  <rv s="0">
    <fb>45835</fb>
    <v>0</v>
  </rv>
  <rv s="0">
    <fb>323.63</fb>
    <v>1</v>
  </rv>
  <rv s="0">
    <fb>45736</fb>
    <v>0</v>
  </rv>
  <rv s="0">
    <fb>248.71</fb>
    <v>1</v>
  </rv>
  <rv s="0">
    <fb>45834</fb>
    <v>0</v>
  </rv>
  <rv s="0">
    <fb>325.77999999999997</fb>
    <v>1</v>
  </rv>
  <rv s="0">
    <fb>45737</fb>
    <v>0</v>
  </rv>
  <rv s="0">
    <fb>278.39</fb>
    <v>1</v>
  </rv>
  <rv s="0">
    <fb>45833</fb>
    <v>0</v>
  </rv>
  <rv s="0">
    <fb>327.55</fb>
    <v>1</v>
  </rv>
  <rv s="0">
    <fb>45740</fb>
    <v>0</v>
  </rv>
  <rv s="0">
    <fb>288.14</fb>
    <v>1</v>
  </rv>
  <rv s="0">
    <fb>45832</fb>
    <v>0</v>
  </rv>
  <rv s="0">
    <fb>340.47</fb>
    <v>1</v>
  </rv>
  <rv s="0">
    <fb>45741</fb>
    <v>0</v>
  </rv>
  <rv s="0">
    <fb>272.06</fb>
    <v>1</v>
  </rv>
  <rv s="0">
    <fb>45831</fb>
    <v>0</v>
  </rv>
  <rv s="0">
    <fb>348.68</fb>
    <v>1</v>
  </rv>
  <rv s="0">
    <fb>45742</fb>
    <v>0</v>
  </rv>
  <rv s="0">
    <fb>273.13</fb>
    <v>1</v>
  </rv>
  <rv s="0">
    <fb>45828</fb>
    <v>0</v>
  </rv>
  <rv s="0">
    <fb>322.16000000000003</fb>
    <v>1</v>
  </rv>
  <rv s="0">
    <fb>45743</fb>
    <v>0</v>
  </rv>
  <rv s="0">
    <fb>263.55</fb>
    <v>1</v>
  </rv>
  <rv s="0">
    <fb>45826</fb>
    <v>0</v>
  </rv>
  <rv s="0">
    <fb>322.05</fb>
    <v>1</v>
  </rv>
  <rv s="0">
    <fb>45744</fb>
    <v>0</v>
  </rv>
  <rv s="0">
    <fb>259.16000000000003</fb>
    <v>1</v>
  </rv>
  <rv s="0">
    <fb>45825</fb>
    <v>0</v>
  </rv>
  <rv s="0">
    <fb>316.35000000000002</fb>
    <v>1</v>
  </rv>
  <rv s="0">
    <fb>45747</fb>
    <v>0</v>
  </rv>
  <rv s="0">
    <fb>268.45999999999998</fb>
    <v>1</v>
  </rv>
  <rv s="0">
    <fb>45824</fb>
    <v>0</v>
  </rv>
  <rv s="0">
    <fb>329.13</fb>
    <v>1</v>
  </rv>
  <rv s="0">
    <fb>45748</fb>
    <v>0</v>
  </rv>
  <rv s="0">
    <fb>282.76</fb>
    <v>1</v>
  </rv>
  <rv s="0">
    <fb>45821</fb>
    <v>0</v>
  </rv>
  <rv s="0">
    <fb>325.31</fb>
    <v>1</v>
  </rv>
  <rv s="0">
    <fb>45749</fb>
    <v>0</v>
  </rv>
  <rv s="0">
    <fb>267.27999999999997</fb>
    <v>1</v>
  </rv>
  <rv s="0">
    <fb>45820</fb>
    <v>0</v>
  </rv>
  <rv s="0">
    <fb>319.11</fb>
    <v>1</v>
  </rv>
  <rv s="0">
    <fb>45750</fb>
    <v>0</v>
  </rv>
  <rv s="0">
    <fb>239.43</fb>
    <v>1</v>
  </rv>
  <rv s="0">
    <fb>45819</fb>
    <v>0</v>
  </rv>
  <rv s="0">
    <fb>326.43</fb>
    <v>1</v>
  </rv>
  <rv s="0">
    <fb>45751</fb>
    <v>0</v>
  </rv>
  <rv s="0">
    <fb>233.29</fb>
    <v>1</v>
  </rv>
  <rv s="0">
    <fb>45818</fb>
    <v>0</v>
  </rv>
  <rv s="0">
    <fb>326.08999999999997</fb>
    <v>1</v>
  </rv>
  <rv s="0">
    <fb>45754</fb>
    <v>0</v>
  </rv>
  <rv s="0">
    <fb>221.86</fb>
    <v>1</v>
  </rv>
  <rv s="0">
    <fb>45817</fb>
    <v>0</v>
  </rv>
  <rv s="0">
    <fb>308.58</fb>
    <v>1</v>
  </rv>
  <rv s="0">
    <fb>45755</fb>
    <v>0</v>
  </rv>
  <rv s="0">
    <fb>272.2</fb>
    <v>1</v>
  </rv>
  <rv s="0">
    <fb>45814</fb>
    <v>0</v>
  </rv>
  <rv s="0">
    <fb>295.14</fb>
    <v>1</v>
  </rv>
  <rv s="0">
    <fb>45756</fb>
    <v>0</v>
  </rv>
  <rv s="0">
    <fb>252.4</fb>
    <v>1</v>
  </rv>
  <rv s="0">
    <fb>45813</fb>
    <v>0</v>
  </rv>
  <rv s="0">
    <fb>284.7</fb>
    <v>1</v>
  </rv>
  <rv s="0">
    <fb>45757</fb>
    <v>0</v>
  </rv>
  <rv s="0">
    <fb>252.31</fb>
    <v>1</v>
  </rv>
  <rv s="0">
    <fb>45812</fb>
    <v>0</v>
  </rv>
  <rv s="0">
    <fb>332.05</fb>
    <v>1</v>
  </rv>
  <rv s="0">
    <fb>45758</fb>
    <v>0</v>
  </rv>
  <rv s="0">
    <fb>252.35</fb>
    <v>1</v>
  </rv>
  <rv s="0">
    <fb>45811</fb>
    <v>0</v>
  </rv>
  <rv s="0">
    <fb>344.27</fb>
    <v>1</v>
  </rv>
  <rv s="0">
    <fb>45761</fb>
    <v>0</v>
  </rv>
  <rv s="0">
    <fb>254.11</fb>
    <v>1</v>
  </rv>
  <rv s="0">
    <fb>45810</fb>
    <v>0</v>
  </rv>
  <rv s="0">
    <fb>342.69</fb>
    <v>1</v>
  </rv>
  <rv s="0">
    <fb>45762</fb>
    <v>0</v>
  </rv>
  <rv s="0">
    <fb>241.55</fb>
    <v>1</v>
  </rv>
  <rv s="0">
    <fb>45807</fb>
    <v>0</v>
  </rv>
  <rv s="0">
    <fb>346.46</fb>
    <v>1</v>
  </rv>
  <rv s="0">
    <fb>45763</fb>
    <v>0</v>
  </rv>
  <rv s="0">
    <fb>241.37</fb>
    <v>1</v>
  </rv>
  <rv s="0">
    <fb>45806</fb>
    <v>0</v>
  </rv>
  <rv s="0">
    <fb>358.43</fb>
    <v>1</v>
  </rv>
  <rv s="0">
    <fb>45764</fb>
    <v>0</v>
  </rv>
  <rv s="0">
    <fb>227.5</fb>
    <v>1</v>
  </rv>
  <rv s="0">
    <fb>45805</fb>
    <v>0</v>
  </rv>
  <rv s="0">
    <fb>356.9</fb>
    <v>1</v>
  </rv>
  <rv s="0">
    <fb>45768</fb>
    <v>0</v>
  </rv>
  <rv s="0">
    <fb>237.97</fb>
    <v>1</v>
  </rv>
  <rv s="0">
    <fb>45804</fb>
    <v>0</v>
  </rv>
  <rv s="0">
    <fb>362.89</fb>
    <v>1</v>
  </rv>
  <rv s="0">
    <fb>45769</fb>
    <v>0</v>
  </rv>
  <rv s="0">
    <fb>250.74</fb>
    <v>1</v>
  </rv>
  <rv s="0">
    <fb>45800</fb>
    <v>0</v>
  </rv>
  <rv s="0">
    <fb>339.34</fb>
    <v>1</v>
  </rv>
  <rv s="0">
    <fb>45770</fb>
    <v>0</v>
  </rv>
  <rv s="0">
    <fb>259.51</fb>
    <v>1</v>
  </rv>
  <rv s="0">
    <fb>45799</fb>
    <v>0</v>
  </rv>
  <rv s="0">
    <fb>341.04</fb>
    <v>1</v>
  </rv>
  <rv s="0">
    <fb>45771</fb>
    <v>0</v>
  </rv>
  <rv s="0">
    <fb>284.95</fb>
    <v>1</v>
  </rv>
  <rv s="0">
    <fb>45798</fb>
    <v>0</v>
  </rv>
  <rv s="0">
    <fb>334.62</fb>
    <v>1</v>
  </rv>
  <rv s="0">
    <fb>45772</fb>
    <v>0</v>
  </rv>
  <rv s="0">
    <fb>285.88</fb>
    <v>1</v>
  </rv>
  <rv s="0">
    <fb>45797</fb>
    <v>0</v>
  </rv>
  <rv s="0">
    <fb>343.82</fb>
    <v>1</v>
  </rv>
  <rv s="0">
    <fb>45775</fb>
    <v>0</v>
  </rv>
  <rv s="0">
    <fb>292.02999999999997</fb>
    <v>1</v>
  </rv>
  <rv s="0">
    <fb>45796</fb>
    <v>0</v>
  </rv>
  <rv s="0">
    <fb>342.09</fb>
    <v>1</v>
  </rv>
  <rv s="0">
    <fb>45776</fb>
    <v>0</v>
  </rv>
  <rv s="0">
    <fb>282.16000000000003</fb>
    <v>1</v>
  </rv>
  <rv s="0">
    <fb>45793</fb>
    <v>0</v>
  </rv>
  <rv s="0">
    <fb>349.98</fb>
    <v>1</v>
  </rv>
  <rv s="0">
    <fb>45777</fb>
    <v>0</v>
  </rv>
  <rv s="0">
    <fb>280.52</fb>
    <v>1</v>
  </rv>
  <rv s="0">
    <fb>45792</fb>
    <v>0</v>
  </rv>
  <rv s="0">
    <fb>342.82</fb>
    <v>1</v>
  </rv>
  <rv s="0">
    <fb>45778</fb>
    <v>0</v>
  </rv>
  <rv s="0">
    <fb>287.20999999999998</fb>
    <v>1</v>
  </rv>
  <rv s="0">
    <fb>45791</fb>
    <v>0</v>
  </rv>
  <rv s="0">
    <fb>347.68</fb>
    <v>1</v>
  </rv>
  <rv s="0">
    <fb>45779</fb>
    <v>0</v>
  </rv>
  <rv s="0">
    <fb>280.26</fb>
    <v>1</v>
  </rv>
  <rv s="0">
    <fb>45790</fb>
    <v>0</v>
  </rv>
  <rv s="0">
    <fb>334.07</fb>
    <v>1</v>
  </rv>
  <rv s="0">
    <fb>45782</fb>
    <v>0</v>
  </rv>
  <rv s="0">
    <fb>275.35000000000002</fb>
    <v>1</v>
  </rv>
  <rv s="0">
    <fb>45789</fb>
    <v>0</v>
  </rv>
  <rv s="0">
    <fb>318.38</fb>
    <v>1</v>
  </rv>
  <rv s="0">
    <fb>45783</fb>
    <v>0</v>
  </rv>
  <rv s="0">
    <fb>276.22000000000003</fb>
    <v>1</v>
  </rv>
  <rv s="0">
    <fb>45786</fb>
    <v>0</v>
  </rv>
  <rv s="0">
    <fb>298.26</fb>
    <v>1</v>
  </rv>
  <rv s="0">
    <fb>45784</fb>
    <v>0</v>
  </rv>
  <rv s="0">
    <fb>284.82</fb>
    <v>1</v>
  </rv>
  <rv s="0">
    <fb>45785</fb>
    <v>0</v>
  </rv>
  <rv s="1">
    <v>12</v>
    <v>0</v>
  </rv>
  <rv s="2">
    <v>12</v>
    <v>1</v>
  </rv>
  <rv s="3">
    <v>2</v>
    <v>TSLA</v>
    <v>Daily</v>
    <v>45658</v>
    <v>45912</v>
    <v>0</v>
    <v>1</v>
    <v>638931456000000000,638933070268542119,0</v>
    <v>0</v>
    <v>a24kar</v>
    <v>XNAS:TSLA</v>
    <v>1</v>
  </rv>
  <rv s="3">
    <v>2</v>
    <v>TSLA</v>
    <v>Daily</v>
    <v>45660</v>
    <v>45887</v>
    <v>0</v>
    <v>1</v>
    <v>638910720000000000,638933070268723486,0</v>
    <v>2</v>
    <v>a24kar</v>
    <v>XNAS:TSLA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31" totalsRowCount="1" headerRowDxfId="2674">
  <autoFilter ref="C20:I30" xr:uid="{715A51DA-B514-1F4B-804D-2485E44509F0}"/>
  <tableColumns count="7">
    <tableColumn id="1" xr3:uid="{0D21877A-CADF-2B42-8E32-423F99C45C4C}" name="Number" totalsRowFunction="sum" dataDxfId="2673" totalsRowDxfId="380" dataCellStyle="Comma"/>
    <tableColumn id="2" xr3:uid="{C42DA1E3-B635-234F-A4E3-577435ABF9B8}" name="Price" dataDxfId="2672" totalsRowDxfId="379" dataCellStyle="Comma"/>
    <tableColumn id="3" xr3:uid="{DB787670-1ECA-E445-A685-C3B2B2251296}" name="Remaining" totalsRowFunction="sum" dataDxfId="2671" totalsRowDxfId="378" dataCellStyle="Comma"/>
    <tableColumn id="4" xr3:uid="{1DCD6947-F05F-4C4B-8C2D-DB6F309A0EEF}" name="Profit/Loss" totalsRowFunction="sum" dataDxfId="2670" totalsRowDxfId="377" dataCellStyle="Comma"/>
    <tableColumn id="5" xr3:uid="{508DC28D-EBE5-3345-AC2B-21EC83602B2F}" name="Income" totalsRowFunction="sum" dataDxfId="2669" totalsRowDxfId="376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375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374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93">
      <calculatedColumnFormula>[1]!RTData[[#This Row],[Currency]]</calculatedColumnFormula>
    </tableColumn>
    <tableColumn id="11" xr3:uid="{1AECACE1-E3D9-6449-814E-049162DE6BD7}" name="Scale" dataDxfId="2540" totalsRowDxfId="92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91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90">
      <calculatedColumnFormula>SUMPRODUCT(C3,D3,B3)</calculatedColumnFormula>
    </tableColumn>
    <tableColumn id="5" xr3:uid="{90E3CC6B-3435-2A4D-B969-2D690A7A4D90}" name="M_V" totalsRowFunction="sum" dataDxfId="2536" totalsRowDxfId="89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88">
      <calculatedColumnFormula>[1]!RTData[[#This Row],[1YT]]</calculatedColumnFormula>
    </tableColumn>
    <tableColumn id="31" xr3:uid="{2AFC8A0F-DB21-7940-9164-133266F4D5CA}" name="E" dataDxfId="2532" totalsRowDxfId="87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86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85">
      <calculatedColumnFormula>[1]!RTData[[#This Row],[M-Price]]</calculatedColumnFormula>
    </tableColumn>
    <tableColumn id="88" xr3:uid="{69D77B69-0989-0D41-89D3-E175D978C58F}" name="CHANGE" dataDxfId="2529" totalsRowDxfId="84" dataCellStyle="Percent">
      <calculatedColumnFormula>[1]!RTData[[#This Row],[Change%]]</calculatedColumnFormula>
    </tableColumn>
    <tableColumn id="94" xr3:uid="{026ACAF4-BBD8-BE46-A3D3-9212D85F81A2}" name="Up20" dataDxfId="2528" totalsRowDxfId="83" dataCellStyle="Percent"/>
    <tableColumn id="98" xr3:uid="{CBD64ADC-34AE-BE41-923A-A11C1C477BF0}" name="Imp20" dataDxfId="2527" totalsRowDxfId="82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81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80" dataCellStyle="Percent"/>
    <tableColumn id="97" xr3:uid="{17A0CA6F-6756-D741-BA84-AA541111FDAD}" name="Imp150" dataDxfId="2524" totalsRowDxfId="79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78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77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76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75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74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73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72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71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70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69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68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67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66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65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64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63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62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61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60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59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58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670" totalsRowDxfId="57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669" totalsRowDxfId="56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2" totalsRowDxfId="55" dataCellStyle="Comma">
      <calculatedColumnFormula>TabCalc[[#This Row],[Y]]/TabCalc[[#This Row],[M]]</calculatedColumnFormula>
    </tableColumn>
    <tableColumn id="62" xr3:uid="{A6A715A1-5EAC-7D4E-A0A1-D497A62E967F}" name="Refill1" dataDxfId="2501" totalsRowDxfId="54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500" totalsRowDxfId="53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9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8">
      <calculatedColumnFormula>TabCalc[[#This Row],[NAfter]]-TabCalc[[#This Row],[Nbegin]]</calculatedColumnFormula>
    </tableColumn>
    <tableColumn id="8" xr3:uid="{3ED81788-89C0-E043-B2C8-940FCCF3F968}" name="Repulse" totalsRowFunction="min" dataDxfId="2497" totalsRowDxfId="52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6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5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4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3" totalsRowDxfId="51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2" totalsRowDxfId="50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91" totalsRowDxfId="49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90" totalsRowDxfId="48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9" totalsRowDxfId="47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8" totalsRowDxfId="46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7" totalsRowDxfId="45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6" totalsRowDxfId="44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5" totalsRowDxfId="43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4" totalsRowDxfId="42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3" totalsRowDxfId="41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2" totalsRowDxfId="40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81" totalsRowDxfId="39" dataCellStyle="Comma">
      <calculatedColumnFormula>TabCalc[[#This Row],[SB]]-TabCalc[[#This Row],[Nbegin]]</calculatedColumnFormula>
    </tableColumn>
    <tableColumn id="23" xr3:uid="{4E9DD018-B419-3E40-8C39-3EA46D617A64}" name="SST" totalsRowFunction="sum" dataDxfId="2480" totalsRowDxfId="38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9" totalsRowDxfId="37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8" totalsRowDxfId="36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7" totalsRowDxfId="35" dataCellStyle="Comma">
      <calculatedColumnFormula>[1]!RTData[[#This Row],[Last trade time]]</calculatedColumnFormula>
    </tableColumn>
    <tableColumn id="32" xr3:uid="{B1DB4F36-B904-474A-B050-47338283DA35}" name="CostReduct" totalsRowFunction="sum" dataDxfId="2476" totalsRowDxfId="34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5" totalsRowDxfId="33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4" totalsRowDxfId="32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3" totalsRowDxfId="31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2" totalsRowDxfId="30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71" totalsRowDxfId="29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70" totalsRowDxfId="28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9" totalsRowDxfId="27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8" totalsRowDxfId="26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7" totalsRowDxfId="25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6" totalsRowDxfId="24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5" totalsRowDxfId="23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4" totalsRowDxfId="22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3" totalsRowDxfId="21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2" totalsRowDxfId="20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61" totalsRowDxfId="19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60" totalsRowDxfId="18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9" totalsRowDxfId="17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8" totalsRowDxfId="16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7" totalsRowDxfId="15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6" totalsRowDxfId="14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5" totalsRowDxfId="13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4" totalsRowDxfId="12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3" totalsRowDxfId="11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2" totalsRowDxfId="10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51" totalsRowDxfId="9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50" totalsRowDxfId="8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9" totalsRowDxfId="7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8" totalsRowDxfId="6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7" totalsRowDxfId="5" dataCellStyle="Comma">
      <calculatedColumnFormula>TabCalc[[#This Row],[ntoSell]]*TabCalc[[#This Row],[M]]</calculatedColumnFormula>
    </tableColumn>
    <tableColumn id="78" xr3:uid="{C55523C0-D45F-8642-B597-19E7E57CF51A}" name="NME" dataDxfId="2446" totalsRowDxfId="4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5" totalsRowDxfId="3" dataCellStyle="Comma">
      <calculatedColumnFormula>IFERROR(TabCalc[[#This Row],[NME]]*TabCalc[[#This Row],[M]],"")</calculatedColumnFormula>
    </tableColumn>
    <tableColumn id="91" xr3:uid="{4773B977-3DE4-0E42-B9FE-48F08243F277}" name="GLMore@A" dataDxfId="2444" totalsRowDxfId="2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3" totalsRowDxfId="1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2" totalsRowDxfId="0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41">
  <autoFilter ref="DI2:DK95" xr:uid="{A89BE8A1-EE62-2A4F-B94D-8CCFEB7A2182}"/>
  <tableColumns count="3">
    <tableColumn id="1" xr3:uid="{83C2141C-EB57-9649-821A-E765DD32C16E}" name="OldTicker" dataDxfId="2440"/>
    <tableColumn id="2" xr3:uid="{F9F7757D-7FFC-2A47-A064-09E4F7795175}" name="OriStock" dataDxfId="2439"/>
    <tableColumn id="3" xr3:uid="{B7BC1A5E-7EFA-9440-97AF-1C13CBDF3B16}" name="OriPrice" dataDxfId="24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7" tableBorderDxfId="2436">
  <autoFilter ref="F4:Z97" xr:uid="{12BDC163-61DF-264F-92B2-E45DC613B4C4}"/>
  <tableColumns count="21">
    <tableColumn id="1" xr3:uid="{EEADBAE1-5103-2A42-AC82-712785472BF0}" name="Close0" dataDxfId="2435"/>
    <tableColumn id="2" xr3:uid="{AE7EFBB8-D06A-C040-9713-4E49B46FECE7}" name="Close1" dataDxfId="2434"/>
    <tableColumn id="3" xr3:uid="{8841397E-CEB0-F942-82C3-85FBA5B005A1}" name="Close2" dataDxfId="2433"/>
    <tableColumn id="4" xr3:uid="{4AFD7B8B-092B-F546-8C5F-44A7CACE4DF6}" name="Close3" dataDxfId="2432"/>
    <tableColumn id="5" xr3:uid="{65D3394C-DDBB-8F4A-9B2B-7C2AE4CFEBBF}" name="Close4" dataDxfId="2431"/>
    <tableColumn id="6" xr3:uid="{283C7AA4-4055-3548-8D00-36EB7B6CEE5D}" name="Close5" dataDxfId="2430"/>
    <tableColumn id="7" xr3:uid="{78CAA80F-F236-E648-9556-69668646706D}" name="Close6" dataDxfId="2429" dataCellStyle="Percent"/>
    <tableColumn id="8" xr3:uid="{744FAAA4-A199-9B4E-87F9-38DF61826509}" name="Close7" dataDxfId="2428"/>
    <tableColumn id="9" xr3:uid="{BC32CFF7-F793-3040-BCF8-1567BA8BEE70}" name="Close8" dataDxfId="2427"/>
    <tableColumn id="10" xr3:uid="{3A714541-23EB-5B4A-A7EA-1A51C49368D2}" name="Close9" dataDxfId="2426"/>
    <tableColumn id="11" xr3:uid="{F62761C7-0A15-9448-8CF3-C007A34184F4}" name="Close10" dataDxfId="2425"/>
    <tableColumn id="12" xr3:uid="{8998ECDF-4D42-274E-822A-FBFDE0359088}" name="Close11" dataDxfId="2424"/>
    <tableColumn id="13" xr3:uid="{CDE8531B-700E-3E45-874F-42552F16C3B0}" name="Close12" dataDxfId="2423" dataCellStyle="Comma"/>
    <tableColumn id="14" xr3:uid="{4F7F7C8C-725F-D745-B627-B5851174E054}" name="Close13" dataDxfId="2422"/>
    <tableColumn id="15" xr3:uid="{B764A379-6E77-524D-84CE-F3D153DC33B6}" name="Close14" dataDxfId="2421"/>
    <tableColumn id="16" xr3:uid="{4331A404-8007-CA4F-9AE0-B2C01B0833A7}" name="Close15" dataDxfId="2420"/>
    <tableColumn id="17" xr3:uid="{0E7625FB-2D36-0248-B8EB-47E2820C4276}" name="Close16" dataDxfId="2419" dataCellStyle="Comma"/>
    <tableColumn id="18" xr3:uid="{D5281074-BB4E-6F4E-AD11-1983B5F6F52A}" name="Close17" dataDxfId="2418" dataCellStyle="Comma"/>
    <tableColumn id="19" xr3:uid="{D2D3DB13-7D54-904A-B3FA-E6ECA88164A0}" name="Close18" dataDxfId="2417" dataCellStyle="Comma"/>
    <tableColumn id="20" xr3:uid="{A6BDE463-026D-A14D-A56E-1A389384E71F}" name="Close19" dataDxfId="2416"/>
    <tableColumn id="21" xr3:uid="{8739BE66-982C-0B4D-A9FA-B2E2DE7CCF03}" name="Close20" dataDxfId="2415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4" dataDxfId="2413" tableBorderDxfId="2412">
  <autoFilter ref="F103:Z196" xr:uid="{7798B848-3F46-BA40-8424-750FBB9BF60F}"/>
  <tableColumns count="21">
    <tableColumn id="1" xr3:uid="{6FEF1508-A20B-AA45-A9AC-4C624E068446}" name="Open0" dataDxfId="2411"/>
    <tableColumn id="2" xr3:uid="{A968BA88-43F9-8744-8D9C-EE0A5FE428C5}" name="Open1" dataDxfId="2410"/>
    <tableColumn id="3" xr3:uid="{084E3773-67E5-6546-877A-017B9C02A673}" name="Open2" dataDxfId="2409"/>
    <tableColumn id="4" xr3:uid="{D159A5E9-303F-2B4C-A90F-C1854A80FA6B}" name="Open3" dataDxfId="2408"/>
    <tableColumn id="5" xr3:uid="{CE8D320D-FD87-4F41-9A24-52676668D9C7}" name="Open4" dataDxfId="2407"/>
    <tableColumn id="6" xr3:uid="{1D8AD5A2-1882-E045-9FDE-A8B14CC49F19}" name="Open5" dataDxfId="2406"/>
    <tableColumn id="7" xr3:uid="{06E18F72-7E37-A84D-A205-389EC66FF62B}" name="Open6" dataDxfId="2405"/>
    <tableColumn id="8" xr3:uid="{78284C14-C4CF-F04E-8F5D-41B356BE8667}" name="Open7" dataDxfId="2404"/>
    <tableColumn id="9" xr3:uid="{9A312717-8B10-A641-9532-CFF04B325F56}" name="Open8" dataDxfId="2403"/>
    <tableColumn id="10" xr3:uid="{913B10DB-C756-D444-9334-829A62032C37}" name="Open9" dataDxfId="2402"/>
    <tableColumn id="11" xr3:uid="{D4686E54-DA00-094B-A567-7A6FCE459B04}" name="Open10" dataDxfId="2401"/>
    <tableColumn id="12" xr3:uid="{8C32C6DF-BCB0-0F4F-8B25-02BDFE0C90E8}" name="Open11" dataDxfId="2400"/>
    <tableColumn id="13" xr3:uid="{5A561081-F5CD-6B4D-B465-1869DCBCB727}" name="Open12" dataDxfId="2399"/>
    <tableColumn id="14" xr3:uid="{B8D9766C-03C2-9B40-B56F-15C155EC7762}" name="Open13" dataDxfId="2398"/>
    <tableColumn id="15" xr3:uid="{69794E79-649D-B04A-9E6D-A1FB7FD06CC4}" name="Open14" dataDxfId="2397"/>
    <tableColumn id="16" xr3:uid="{2C43AD13-A168-9A4D-869C-1EA09EDDFD22}" name="Open15" dataDxfId="2396"/>
    <tableColumn id="17" xr3:uid="{17AFBD30-9F2E-1A4C-8AA5-71AFA3BF092C}" name="Open16" dataDxfId="2395"/>
    <tableColumn id="18" xr3:uid="{1F620BC4-C578-3545-B148-8C7E16D7F5FE}" name="Open17" dataDxfId="2394"/>
    <tableColumn id="19" xr3:uid="{B560E636-BDB1-AA40-86EC-4E1A75517D70}" name="Open18" dataDxfId="2393"/>
    <tableColumn id="20" xr3:uid="{714C2841-15F8-C249-873E-4343067B0240}" name="Open19" dataDxfId="2392"/>
    <tableColumn id="21" xr3:uid="{D347935C-0F22-024F-8C36-90AFCCDAE1AF}" name="Open20" dataDxfId="2391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90" dataDxfId="2389" tableBorderDxfId="2388">
  <autoFilter ref="F202:Z295" xr:uid="{EB4BB861-7DAC-314C-88E1-E031AC845B22}"/>
  <tableColumns count="21">
    <tableColumn id="1" xr3:uid="{A4E5A9D6-B024-1848-9F1D-71E156809148}" name="Price0" dataDxfId="2387"/>
    <tableColumn id="2" xr3:uid="{52A5C813-441A-0F44-A905-B78DFD4A3E7C}" name="Price1" dataDxfId="2386"/>
    <tableColumn id="3" xr3:uid="{ED453191-6F79-4140-B4A3-749667D3669A}" name="Price2" dataDxfId="2385"/>
    <tableColumn id="4" xr3:uid="{2B0E655A-259C-864B-AEA5-8BFBC75DFA5F}" name="Price3" dataDxfId="2384"/>
    <tableColumn id="5" xr3:uid="{31D31267-41BA-A84C-9512-B812956F8287}" name="Price4" dataDxfId="2383"/>
    <tableColumn id="6" xr3:uid="{6E482D3D-F09A-AD46-BFEC-448C11C27A1B}" name="Price5" dataDxfId="2382"/>
    <tableColumn id="7" xr3:uid="{8DCBD691-FA2F-5C4F-8741-758F221535B8}" name="Price6" dataDxfId="2381"/>
    <tableColumn id="8" xr3:uid="{F81A28A3-D8E8-C548-BBF7-52E767E3560F}" name="Price7" dataDxfId="2380"/>
    <tableColumn id="9" xr3:uid="{F36950E3-5E7A-C44B-BDEC-5FF51E1821C0}" name="Price8" dataDxfId="2379"/>
    <tableColumn id="10" xr3:uid="{94001300-D30A-164C-9AF4-A6C18C1D8233}" name="Price9" dataDxfId="2378"/>
    <tableColumn id="11" xr3:uid="{1762A2DB-B308-ED43-944F-330F2C82AF06}" name="Price10" dataDxfId="2377"/>
    <tableColumn id="12" xr3:uid="{664B20E9-BD46-EB4E-8614-25B89B67B0C5}" name="Price11" dataDxfId="2376"/>
    <tableColumn id="13" xr3:uid="{85F76311-414E-8345-9FCC-75CCEC1CF031}" name="Price12" dataDxfId="2375"/>
    <tableColumn id="14" xr3:uid="{39B5CAB1-7AF2-ED40-844D-4C3150F8440D}" name="Price13" dataDxfId="2374"/>
    <tableColumn id="15" xr3:uid="{EAFED719-DCFC-8346-BF51-C8F86D4EF22A}" name="Price14" dataDxfId="2373"/>
    <tableColumn id="16" xr3:uid="{F0C7D109-ABBE-184B-9657-0BD76C0A19B9}" name="Price15" dataDxfId="2372"/>
    <tableColumn id="17" xr3:uid="{255011AA-1459-4E42-A3A6-ACA53BC0738C}" name="Price16" dataDxfId="2371"/>
    <tableColumn id="18" xr3:uid="{F9009A2B-6610-1349-8B9E-07FE9A1901DB}" name="Price17" dataDxfId="2370"/>
    <tableColumn id="19" xr3:uid="{F72FCCC2-2EE5-3B40-B6E1-BC512B2A567B}" name="Price18" dataDxfId="2369"/>
    <tableColumn id="20" xr3:uid="{FFF62431-CB3E-DD4C-B035-809B1E6C4777}" name="Price19" dataDxfId="2368"/>
    <tableColumn id="21" xr3:uid="{6CA9E17B-C9CB-5D40-9BDE-F4B681DB70A8}" name="Price20" dataDxfId="2367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6" dataDxfId="2365" tableBorderDxfId="2364" dataCellStyle="Comma">
  <autoFilter ref="AB4:AV97" xr:uid="{6AB25A1F-426D-5D41-AF5C-E0BACF53B0F0}"/>
  <tableColumns count="21">
    <tableColumn id="1" xr3:uid="{C7F03BE7-11FE-E841-9EF9-83F5C6F6FF3F}" name="Stock0" dataDxfId="2363" dataCellStyle="Comma"/>
    <tableColumn id="2" xr3:uid="{18A6D9C1-5DF4-2B40-9126-0E253FF416D7}" name="Stock1" dataDxfId="2362" dataCellStyle="Comma"/>
    <tableColumn id="3" xr3:uid="{4C2FC7F7-8430-F04E-8872-D98FF3A3D75B}" name="Stock2" dataDxfId="2361" dataCellStyle="Comma"/>
    <tableColumn id="4" xr3:uid="{838478B3-3270-1143-9694-B70966ED2654}" name="Stock3" dataDxfId="2360" dataCellStyle="Comma"/>
    <tableColumn id="5" xr3:uid="{F32213CF-064E-9342-B3E7-EA3E20AC95ED}" name="Stock4" dataDxfId="2359" dataCellStyle="Comma"/>
    <tableColumn id="6" xr3:uid="{C02BEF2E-2769-C04B-B440-6091CCD42B79}" name="Stock5" dataDxfId="2358" dataCellStyle="Comma"/>
    <tableColumn id="7" xr3:uid="{0F048FA9-BD2E-1F4C-AC9C-84F2091208AD}" name="Stock6" dataDxfId="2357" dataCellStyle="Comma"/>
    <tableColumn id="8" xr3:uid="{146ACADB-FB47-A542-9FA4-6EDCECB46FC4}" name="Stock7" dataDxfId="2356" dataCellStyle="Comma"/>
    <tableColumn id="9" xr3:uid="{96904AC0-9C5F-D043-BEDD-6B33D0EC239E}" name="Stock8" dataDxfId="2355" dataCellStyle="Comma"/>
    <tableColumn id="10" xr3:uid="{61E1D695-049F-5440-81AB-7D97F9E0F5CB}" name="Stock9" dataDxfId="2354" dataCellStyle="Comma"/>
    <tableColumn id="11" xr3:uid="{66B73799-E0BE-0049-82BC-096FB61FE577}" name="Stock10" dataDxfId="2353" dataCellStyle="Comma"/>
    <tableColumn id="12" xr3:uid="{F7F319CC-4A25-7345-A1A3-E1E93F1B82F6}" name="Stock11" dataDxfId="2352" dataCellStyle="Comma"/>
    <tableColumn id="13" xr3:uid="{D935BDD0-C5FF-414D-B97A-D213626F8B26}" name="Stock12" dataDxfId="2351" dataCellStyle="Comma"/>
    <tableColumn id="14" xr3:uid="{516F2104-B757-F94E-AB0F-428E98774253}" name="Stock13" dataDxfId="2350" dataCellStyle="Comma"/>
    <tableColumn id="15" xr3:uid="{2D08D160-51A8-914D-BB06-71F9E133FF42}" name="Stock14" dataDxfId="2349" dataCellStyle="Comma"/>
    <tableColumn id="16" xr3:uid="{A6311255-1F3F-E94F-A911-9E0083E20212}" name="Stock15" dataDxfId="2348" dataCellStyle="Comma"/>
    <tableColumn id="17" xr3:uid="{63865F5A-7539-144A-A7BF-3F28BA206DC5}" name="Stock16" dataDxfId="2347" dataCellStyle="Comma"/>
    <tableColumn id="18" xr3:uid="{53365510-D756-014D-B723-CBF92DEF74E4}" name="Stock17" dataDxfId="2346" dataCellStyle="Comma"/>
    <tableColumn id="19" xr3:uid="{4526F642-C055-8A46-B59D-A903CB7704F2}" name="Stock18" dataDxfId="2345" dataCellStyle="Comma"/>
    <tableColumn id="20" xr3:uid="{4D633FC2-817A-0D44-977B-DC0ADA7FA9EA}" name="Stock19" dataDxfId="2344" dataCellStyle="Comma"/>
    <tableColumn id="21" xr3:uid="{17C3BFF9-DE7F-F049-8716-2E4A3E209A88}" name="Stock20" dataDxfId="2343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2" dataDxfId="2341" tableBorderDxfId="2340" dataCellStyle="Percent">
  <autoFilter ref="AB103:AV196" xr:uid="{5E09C67E-B492-C14D-BA21-53D0DFBBCF19}"/>
  <tableColumns count="21">
    <tableColumn id="1" xr3:uid="{4844BFD7-46E9-AD4D-A30F-27D7E320248D}" name="XAgio0" dataDxfId="2339" dataCellStyle="Percent"/>
    <tableColumn id="2" xr3:uid="{7A1C1DBC-E8A9-9C43-8D4C-79908C623B18}" name="XAgio1" dataDxfId="2338" dataCellStyle="Percent"/>
    <tableColumn id="3" xr3:uid="{F5F51D62-A156-3A4B-B1D3-94FCD61FC950}" name="XAgio2" dataDxfId="2337" dataCellStyle="Percent"/>
    <tableColumn id="4" xr3:uid="{E7F601FB-9DA1-9646-901B-25613F200B8E}" name="XAgio3" dataDxfId="2336" dataCellStyle="Percent"/>
    <tableColumn id="5" xr3:uid="{75D6ABA4-DA21-5B45-A87C-3A40C095EEDD}" name="XAgio4" dataDxfId="2335" dataCellStyle="Percent"/>
    <tableColumn id="6" xr3:uid="{456553CB-4622-3A40-868B-E76C74ECEC20}" name="XAgio5" dataDxfId="2334" dataCellStyle="Percent"/>
    <tableColumn id="7" xr3:uid="{A3974414-65F7-E44F-9012-7BB38B2A109D}" name="XAgio6" dataDxfId="2333" dataCellStyle="Percent"/>
    <tableColumn id="8" xr3:uid="{9AF89B43-794D-0044-8721-675D2C6D4F3E}" name="XAgio7" dataDxfId="2332" dataCellStyle="Percent"/>
    <tableColumn id="9" xr3:uid="{F5B7FA23-D7FE-BC47-9591-E9DA8FF929C2}" name="XAgio8" dataDxfId="2331" dataCellStyle="Percent"/>
    <tableColumn id="10" xr3:uid="{65D900EF-8A52-3C44-9629-8C6C9CD41130}" name="XAgio9" dataDxfId="2330" dataCellStyle="Percent"/>
    <tableColumn id="11" xr3:uid="{5E70DF05-8BA0-2D41-982A-D2D655974B5A}" name="XAgio10" dataDxfId="2329" dataCellStyle="Percent"/>
    <tableColumn id="12" xr3:uid="{B092C649-E1A7-3344-B40E-2BF9506A0880}" name="XAgio11" dataDxfId="2328" dataCellStyle="Percent"/>
    <tableColumn id="13" xr3:uid="{840DE593-5252-9C4A-BE7A-3D48632B63B7}" name="XAgio12" dataDxfId="2327" dataCellStyle="Percent"/>
    <tableColumn id="14" xr3:uid="{2E89F770-65D9-BB4A-B172-0E7996075FB4}" name="XAgio13" dataDxfId="2326" dataCellStyle="Percent"/>
    <tableColumn id="15" xr3:uid="{F177428E-AD8D-DF4B-A7AA-B15CB23DB9E4}" name="XAgio14" dataDxfId="2325" dataCellStyle="Percent"/>
    <tableColumn id="16" xr3:uid="{BCD73CCF-78D3-EC44-880D-FD6173967D68}" name="XAgio15" dataDxfId="2324" dataCellStyle="Percent"/>
    <tableColumn id="17" xr3:uid="{972D2180-01FF-264F-BA6C-033AD490130B}" name="XAgio16" dataDxfId="2323" dataCellStyle="Percent"/>
    <tableColumn id="18" xr3:uid="{BA2DE4B4-20B3-5943-8FBF-B47FBCAB9092}" name="XAgio17" dataDxfId="2322" dataCellStyle="Percent"/>
    <tableColumn id="19" xr3:uid="{34B59026-2C3D-8B4A-A730-B5D8AC1FD6FA}" name="XAgio18" dataDxfId="2321" dataCellStyle="Percent"/>
    <tableColumn id="20" xr3:uid="{9D4953E9-4D29-F647-B767-013FD23C3406}" name="XAgio19" dataDxfId="2320" dataCellStyle="Percent"/>
    <tableColumn id="21" xr3:uid="{C64D4FA9-A244-B04F-ABB2-1CF53E36712C}" name="XAgio20" dataDxfId="2319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8" dataDxfId="2317" tableBorderDxfId="2316" dataCellStyle="Comma">
  <autoFilter ref="AB202:AV295" xr:uid="{A0EA3112-2FB6-FF42-841C-1FCA71A552B8}"/>
  <tableColumns count="21">
    <tableColumn id="1" xr3:uid="{AFEB9715-0820-D341-B6DD-56D90ACA4EB8}" name="AVGChan0" totalsRowLabel="Total" dataDxfId="2315" dataCellStyle="Comma"/>
    <tableColumn id="2" xr3:uid="{C5555382-638A-5E4F-9F9E-F76D19F860CD}" name="AVGChan1" dataDxfId="2314" dataCellStyle="Comma"/>
    <tableColumn id="3" xr3:uid="{CC180859-B3A9-A74D-854E-75282058C806}" name="AVGChan2" dataDxfId="2313" dataCellStyle="Comma"/>
    <tableColumn id="4" xr3:uid="{0B2BD7AB-D580-E44F-9EE2-E63D10A83637}" name="AVGChan3" dataDxfId="2312" dataCellStyle="Comma"/>
    <tableColumn id="5" xr3:uid="{A007109A-0054-AC49-B4CC-AC0ABA7FCC51}" name="AVGChan4" dataDxfId="2311" dataCellStyle="Comma"/>
    <tableColumn id="6" xr3:uid="{ADA20693-A5A5-AE4B-B88C-B65CB781B96B}" name="AVGChan5" dataDxfId="2310" dataCellStyle="Comma"/>
    <tableColumn id="7" xr3:uid="{7D26F7E4-E81D-D340-9014-5ACD0B49DD1E}" name="AVGChan6" dataDxfId="2309" dataCellStyle="Comma"/>
    <tableColumn id="8" xr3:uid="{4FEFA07A-6190-8C40-852E-B947C25694E4}" name="AVGChan7" dataDxfId="2308" dataCellStyle="Comma"/>
    <tableColumn id="9" xr3:uid="{200C4B95-289F-6742-B20B-64883DC43885}" name="AVGChan8" dataDxfId="2307" dataCellStyle="Comma"/>
    <tableColumn id="10" xr3:uid="{4C9BF29D-D210-D542-ACA3-179CDDE9DAF7}" name="AVGChan9" dataDxfId="2306" dataCellStyle="Comma"/>
    <tableColumn id="11" xr3:uid="{B85A0FFF-0B92-E545-AA74-114F3489EF28}" name="AVGChan10" dataDxfId="2305" dataCellStyle="Comma"/>
    <tableColumn id="12" xr3:uid="{36FAB0C0-8931-7C4A-A4D4-F1D9B93019C4}" name="AVGChan11" dataDxfId="2304" dataCellStyle="Comma"/>
    <tableColumn id="13" xr3:uid="{3F14D851-FC58-CF45-A44B-BEB6ECE74CF5}" name="AVGChan12" dataDxfId="2303" dataCellStyle="Comma"/>
    <tableColumn id="14" xr3:uid="{76BFA56E-7A6D-D648-8E97-C919C4B1D64E}" name="AVGChan13" dataDxfId="2302" dataCellStyle="Comma"/>
    <tableColumn id="15" xr3:uid="{42ECD6EE-13DD-CA41-8888-DBF465AE6675}" name="AVGChan14" dataDxfId="2301" dataCellStyle="Comma"/>
    <tableColumn id="16" xr3:uid="{4A0F3AFD-AFF8-4845-BF6E-71EEAC694084}" name="AVGChan15" dataDxfId="2300" dataCellStyle="Comma"/>
    <tableColumn id="17" xr3:uid="{BB41E69B-766F-CA4C-8F73-8229D71B0FBD}" name="AVGChan16" dataDxfId="2299" dataCellStyle="Comma"/>
    <tableColumn id="18" xr3:uid="{4E0F70D5-E77D-5544-BB80-5273D6D6DAD6}" name="AVGChan17" dataDxfId="2298" dataCellStyle="Comma"/>
    <tableColumn id="19" xr3:uid="{C0969DD6-BF9F-4F43-AE89-B3456AD8AEBA}" name="AVGChan18" dataDxfId="2297" dataCellStyle="Comma"/>
    <tableColumn id="20" xr3:uid="{3B8AD847-1069-8C45-ABC0-C614EB40C498}" name="AVGChan19" dataDxfId="2296" dataCellStyle="Comma"/>
    <tableColumn id="21" xr3:uid="{6E962B66-DD99-C04D-82E7-4A68E8C053FD}" name="AVGChan20" totalsRowFunction="max" dataDxfId="2295" totalsRowDxfId="2294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3" dataDxfId="2292" tableBorderDxfId="2291">
  <autoFilter ref="F301:Z394" xr:uid="{8341DCDD-9E59-2740-A24A-0BAB86A4C294}"/>
  <tableColumns count="21">
    <tableColumn id="1" xr3:uid="{05BF7933-5282-7743-AAEF-BA70016123D1}" name="Low0" dataDxfId="2290"/>
    <tableColumn id="2" xr3:uid="{AEBAE2DC-B6D6-0D45-8ED5-23D6DE0D188E}" name="Low1" dataDxfId="2289"/>
    <tableColumn id="3" xr3:uid="{7397E65D-0B52-944C-B00D-ACBE6FC8970C}" name="Low2" dataDxfId="2288"/>
    <tableColumn id="4" xr3:uid="{65199958-FB50-644B-A6CD-D9B4A6A31C81}" name="Low3" dataDxfId="2287"/>
    <tableColumn id="5" xr3:uid="{D4E76AA6-38FC-044A-8136-1857F432C2D3}" name="Low4" dataDxfId="2286"/>
    <tableColumn id="6" xr3:uid="{ED22DB04-9A39-FA4C-A400-F3A5E3819087}" name="Low5" dataDxfId="2285"/>
    <tableColumn id="7" xr3:uid="{0691BBF2-D7EE-5E42-95D5-979DA294E3E7}" name="Low6" dataDxfId="2284"/>
    <tableColumn id="8" xr3:uid="{74FD8EEA-5F19-9447-855C-6D265EC39B98}" name="Low7" dataDxfId="2283"/>
    <tableColumn id="9" xr3:uid="{E09EB8DA-7DAF-AB45-BDDC-046B45CF7281}" name="Low8" dataDxfId="2282"/>
    <tableColumn id="10" xr3:uid="{3878FE9A-1C85-B84F-AC92-CB845274D16C}" name="Low9" dataDxfId="2281"/>
    <tableColumn id="11" xr3:uid="{B8430559-485B-B541-8B61-B3AA3978406D}" name="Low10" dataDxfId="2280"/>
    <tableColumn id="12" xr3:uid="{37EF61DB-B6C4-5742-A9A0-AAEAD0B7FCE6}" name="Low11" dataDxfId="2279"/>
    <tableColumn id="13" xr3:uid="{B119276C-5FBF-1A44-8632-7C3C430B2A4D}" name="Low12" dataDxfId="2278"/>
    <tableColumn id="14" xr3:uid="{49F0F70A-AA8D-204B-9C66-28455E39E699}" name="Low13" dataDxfId="2277"/>
    <tableColumn id="15" xr3:uid="{1A9F3FC6-0480-244A-91A4-82DAB8F1B54C}" name="Low14" dataDxfId="2276"/>
    <tableColumn id="16" xr3:uid="{547FE690-F1C5-B04D-B2DF-6360BB404F5A}" name="Low15" dataDxfId="2275"/>
    <tableColumn id="17" xr3:uid="{D819DC47-43F2-AC44-883E-2374E2163BF7}" name="Low16" dataDxfId="2274"/>
    <tableColumn id="18" xr3:uid="{88351988-EF51-384B-AC10-2BC7C2582A51}" name="Low17" dataDxfId="2273"/>
    <tableColumn id="19" xr3:uid="{01380C41-88F2-4D41-8C9D-E40D9F6441F5}" name="Low18" dataDxfId="2272"/>
    <tableColumn id="20" xr3:uid="{84321462-E49A-E747-ABFD-DD17E624EC5A}" name="Low19" dataDxfId="2271"/>
    <tableColumn id="21" xr3:uid="{684AE721-DDC5-814C-9DAE-F132DA57CEBA}" name="Low20" dataDxfId="2270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9" dataDxfId="2268" tableBorderDxfId="2267" dataCellStyle="Comma">
  <autoFilter ref="AB301:AV394" xr:uid="{505C5E5D-245B-A747-9456-0A0E743C05A8}"/>
  <tableColumns count="21">
    <tableColumn id="1" xr3:uid="{F7696D4B-4AED-544C-B7C4-D7CE117BA3E4}" name="Sald0" dataDxfId="2266" dataCellStyle="Comma"/>
    <tableColumn id="2" xr3:uid="{715ED5A9-49EF-A648-85DA-96BA79BF9465}" name="Sald1" dataDxfId="2265" dataCellStyle="Comma"/>
    <tableColumn id="3" xr3:uid="{C7F806CC-F109-4247-B40E-74E3AE1489B3}" name="Sald2" dataDxfId="2264" dataCellStyle="Comma"/>
    <tableColumn id="4" xr3:uid="{18B41461-0D38-0849-89C0-982034BE0F82}" name="Sald3" dataDxfId="2263" dataCellStyle="Comma"/>
    <tableColumn id="5" xr3:uid="{8298E28E-80F4-1048-8A5F-010EBB7B8A3E}" name="Sald4" dataDxfId="2262" dataCellStyle="Comma"/>
    <tableColumn id="6" xr3:uid="{32D5C376-8552-A04D-9ED9-02FE6C79D9A2}" name="Sald5" dataDxfId="2261" dataCellStyle="Comma"/>
    <tableColumn id="7" xr3:uid="{0ABF3F59-1C72-A14A-9072-D4A990EA8CE3}" name="Sald6" dataDxfId="2260" dataCellStyle="Comma"/>
    <tableColumn id="8" xr3:uid="{0FD2AAEC-31D8-8C4D-A76B-31EAAFF62550}" name="Sald7" dataDxfId="2259" dataCellStyle="Comma"/>
    <tableColumn id="9" xr3:uid="{F861BBF0-6B76-7944-AEF1-EE42D7F8BE67}" name="Sald8" dataDxfId="2258" dataCellStyle="Comma"/>
    <tableColumn id="10" xr3:uid="{C7145DD9-60A5-6649-B81D-9A811F1A04C8}" name="Sald9" dataDxfId="2257" dataCellStyle="Comma"/>
    <tableColumn id="11" xr3:uid="{44B06E69-05E2-7E4A-AC70-25BCA74106DD}" name="Sald10" dataDxfId="2256" dataCellStyle="Comma"/>
    <tableColumn id="12" xr3:uid="{A3625923-E054-3845-B42D-2D38393132BF}" name="Sald11" dataDxfId="2255" dataCellStyle="Comma"/>
    <tableColumn id="13" xr3:uid="{CF2D3173-D401-C247-BA64-D3BECA1113C9}" name="Sald12" dataDxfId="2254" dataCellStyle="Comma"/>
    <tableColumn id="14" xr3:uid="{7CA064B5-3FF3-5347-A4DA-C9135895E78E}" name="Sald13" dataDxfId="2253" dataCellStyle="Comma"/>
    <tableColumn id="15" xr3:uid="{F88906F4-6EF3-8D44-AFB3-7F6171120460}" name="Sald14" dataDxfId="2252" dataCellStyle="Comma"/>
    <tableColumn id="16" xr3:uid="{08BE88DE-285E-DD4E-9B94-ABF49BDF2583}" name="Sald15" dataDxfId="2251" dataCellStyle="Comma"/>
    <tableColumn id="17" xr3:uid="{FF350C71-FB06-814C-AB62-C38F3BD8773D}" name="Sald16" dataDxfId="2250" dataCellStyle="Comma"/>
    <tableColumn id="18" xr3:uid="{871A4128-CC31-834F-9E52-C6732E47E371}" name="Sald17" dataDxfId="2249" dataCellStyle="Comma"/>
    <tableColumn id="19" xr3:uid="{CEC6770B-F0F3-E944-84DF-0EB3CF5BF1C5}" name="Sald18" dataDxfId="2248" dataCellStyle="Comma"/>
    <tableColumn id="20" xr3:uid="{4ED80F33-FFBC-754A-BC03-7BBA30F2CF36}" name="Sald19" dataDxfId="2247" dataCellStyle="Comma"/>
    <tableColumn id="21" xr3:uid="{EE7FE24F-4084-A047-A96A-BFD7777A0526}" name="Sald20" dataDxfId="2246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5" dataDxfId="2244" tableBorderDxfId="2243">
  <autoFilter ref="F400:Z493" xr:uid="{72791BE6-AE3B-984E-9283-1FCA25508BF8}"/>
  <tableColumns count="21">
    <tableColumn id="1" xr3:uid="{5F2442DC-292F-7E44-9E79-EC5946746F80}" name="High0" dataDxfId="2242"/>
    <tableColumn id="2" xr3:uid="{0549D8C8-5CD6-D547-AA4E-06EF2CCBBC47}" name="High1" dataDxfId="2241"/>
    <tableColumn id="3" xr3:uid="{9808B4C7-981B-8E41-932E-5EEDB044D191}" name="High2" dataDxfId="2240"/>
    <tableColumn id="4" xr3:uid="{B0305D9C-4013-9546-B636-C1949178510D}" name="High3" dataDxfId="2239"/>
    <tableColumn id="5" xr3:uid="{F9E69E5D-F110-9B48-9329-9C8765C01A16}" name="High4" dataDxfId="2238"/>
    <tableColumn id="6" xr3:uid="{48A1E920-9742-9B42-B5B4-CE8842722C58}" name="High5" dataDxfId="2237"/>
    <tableColumn id="7" xr3:uid="{0FAA0644-82A0-C647-85BA-148C691889ED}" name="High6" dataDxfId="2236"/>
    <tableColumn id="8" xr3:uid="{E26B2014-11CB-6C43-9007-791975CDE457}" name="High7" dataDxfId="2235"/>
    <tableColumn id="9" xr3:uid="{BB5A97F1-1D0F-3B40-9D75-3BC9680046D9}" name="High8" dataDxfId="2234"/>
    <tableColumn id="10" xr3:uid="{9937F62A-F0DE-504F-9DDF-9B58BBCDF30D}" name="High9" dataDxfId="2233"/>
    <tableColumn id="11" xr3:uid="{29A4776E-C258-E74A-ADF9-5D021108CAC4}" name="High10" dataDxfId="2232"/>
    <tableColumn id="12" xr3:uid="{8849CFF6-7CC5-C142-AF6B-ADEA6C57F16A}" name="High11" dataDxfId="2231"/>
    <tableColumn id="13" xr3:uid="{633224FB-FB56-3346-B3D4-7815BD0EE8D2}" name="High12" dataDxfId="2230"/>
    <tableColumn id="14" xr3:uid="{AE8EB41C-C141-E34D-998C-B0CD93824B2C}" name="High13" dataDxfId="2229"/>
    <tableColumn id="15" xr3:uid="{D5C19F64-CCDC-C14F-9A29-B00650B50A72}" name="High14" dataDxfId="2228"/>
    <tableColumn id="16" xr3:uid="{30340F11-A4CE-D545-A219-2AE57981DD72}" name="High15" dataDxfId="2227"/>
    <tableColumn id="17" xr3:uid="{DC13C9CF-21E4-0341-AC85-77254CBA4C10}" name="High16" dataDxfId="2226"/>
    <tableColumn id="18" xr3:uid="{8B477E38-014E-7349-BDEF-006CC12B5F71}" name="High17" dataDxfId="2225"/>
    <tableColumn id="19" xr3:uid="{244FB7EE-D034-2C4B-855E-A5622CFD9DCC}" name="High18" dataDxfId="2224"/>
    <tableColumn id="20" xr3:uid="{BE6D664C-133B-0D49-9894-15834393E697}" name="High19" dataDxfId="2223"/>
    <tableColumn id="21" xr3:uid="{0D39CB33-A7F6-3446-97CA-74E68796A5EF}" name="High20" dataDxfId="2222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21" dataDxfId="2220" tableBorderDxfId="2219" dataCellStyle="Comma">
  <autoFilter ref="AB499:AV592" xr:uid="{2059310D-912B-5146-8786-585E1C6FFCF2}"/>
  <tableColumns count="21">
    <tableColumn id="1" xr3:uid="{C4347E4A-86BC-5043-97CE-45A14B956E41}" name="M_Val0" dataDxfId="2218" dataCellStyle="Comma"/>
    <tableColumn id="2" xr3:uid="{B1FF6CEC-79A5-F849-8927-C7B81EC7DECC}" name="M_Val1" dataDxfId="2217" dataCellStyle="Comma"/>
    <tableColumn id="3" xr3:uid="{A3EF44CD-266F-BE4D-AA64-EC5EB34BABDE}" name="M_Val2" dataDxfId="2216" dataCellStyle="Comma"/>
    <tableColumn id="4" xr3:uid="{33FCDB11-ACFC-144C-96FF-80A724DEA2D2}" name="M_Val3" dataDxfId="2215" dataCellStyle="Comma"/>
    <tableColumn id="5" xr3:uid="{ECF85600-2A51-6B4A-A8AA-85CC4E8C8A69}" name="M_Val4" dataDxfId="2214" dataCellStyle="Comma"/>
    <tableColumn id="6" xr3:uid="{DA6F66BD-BF68-A745-930D-40C93490CE38}" name="M_Val5" dataDxfId="2213" dataCellStyle="Comma"/>
    <tableColumn id="7" xr3:uid="{3825427F-1753-8E4B-9F49-DC786B094ADF}" name="M_Val6" dataDxfId="2212" dataCellStyle="Comma"/>
    <tableColumn id="8" xr3:uid="{DE50C296-7BE6-2344-ADBB-42DDE8201D63}" name="M_Val7" dataDxfId="2211" dataCellStyle="Comma"/>
    <tableColumn id="9" xr3:uid="{6E7F2388-373F-3347-A802-C9769737C04E}" name="M_Val8" dataDxfId="2210" dataCellStyle="Comma"/>
    <tableColumn id="10" xr3:uid="{A785C2B5-06C3-8744-8BCE-7DF4FD77BC91}" name="M_Val9" dataDxfId="2209" dataCellStyle="Comma"/>
    <tableColumn id="11" xr3:uid="{8C7CA10E-47BD-E84A-BD5C-1A0BE803DEC1}" name="M_Val10" dataDxfId="2208" dataCellStyle="Comma"/>
    <tableColumn id="12" xr3:uid="{1E4D3DAF-E7FF-874F-9172-DEC7EE7EAB78}" name="M_Val11" dataDxfId="2207" dataCellStyle="Comma"/>
    <tableColumn id="13" xr3:uid="{92B8A6BB-8666-2348-B666-A1B1F7225487}" name="M_Val12" dataDxfId="2206" dataCellStyle="Comma"/>
    <tableColumn id="14" xr3:uid="{2BB9A822-DD2E-954F-B6F7-E6E26EE77E8B}" name="M_Val13" dataDxfId="2205" dataCellStyle="Comma"/>
    <tableColumn id="15" xr3:uid="{155B15D5-436D-664E-8647-3917F45F9F75}" name="M_Val14" dataDxfId="2204" dataCellStyle="Comma"/>
    <tableColumn id="16" xr3:uid="{2317AB74-4C6E-FC4A-8D59-B4EA62202F18}" name="M_Val15" dataDxfId="2203" dataCellStyle="Comma"/>
    <tableColumn id="17" xr3:uid="{FA0A4F43-775A-E940-A9B0-C394FF2B3489}" name="M_Val16" dataDxfId="2202" dataCellStyle="Comma"/>
    <tableColumn id="18" xr3:uid="{914B7672-9B72-E249-BB28-1D744A2474DA}" name="M_Val17" dataDxfId="2201" dataCellStyle="Comma"/>
    <tableColumn id="19" xr3:uid="{FEAB0C78-F15D-434B-A119-CE6A5430E083}" name="M_Val18" dataDxfId="2200" dataCellStyle="Comma"/>
    <tableColumn id="20" xr3:uid="{7060E8A2-F8A5-8741-9D69-3F1A5F8B6BF0}" name="M_Val19" dataDxfId="2199" dataCellStyle="Comma"/>
    <tableColumn id="21" xr3:uid="{FA8ABABE-3921-3E45-831B-C8F137C9C488}" name="M_Val20" dataDxfId="2198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7" dataDxfId="2196" tableBorderDxfId="2195">
  <autoFilter ref="F499:Z592" xr:uid="{36432D48-615D-1C48-A920-5E65086EABA8}"/>
  <tableColumns count="21">
    <tableColumn id="1" xr3:uid="{6AB3A1F6-3AFC-8A45-971A-236D7AC7AB72}" name="PE0" dataDxfId="2194"/>
    <tableColumn id="2" xr3:uid="{C1F36B94-A69D-D048-9AB8-5EA83B7C9B99}" name="PE1" dataDxfId="2193"/>
    <tableColumn id="3" xr3:uid="{63661DA8-D795-6C49-A71B-41F019D21DDC}" name="PE2" dataDxfId="2192"/>
    <tableColumn id="4" xr3:uid="{D5A54A31-FEF4-BA4E-9B48-3EEF87AD1F14}" name="PE3" dataDxfId="2191"/>
    <tableColumn id="5" xr3:uid="{B65A08F3-5A74-754D-A3C6-8CDB9EF676C2}" name="PE4" dataDxfId="2190"/>
    <tableColumn id="6" xr3:uid="{7D4695C5-0843-EF45-A864-194AC78A2520}" name="PE5" dataDxfId="2189"/>
    <tableColumn id="7" xr3:uid="{35BB55FC-B3A0-964C-AEA0-9AA1136AF415}" name="PE6" dataDxfId="2188"/>
    <tableColumn id="8" xr3:uid="{1D2CBFF1-8B15-A84D-81C4-481E8A48D1DC}" name="PE7" dataDxfId="2187"/>
    <tableColumn id="9" xr3:uid="{A828A73C-F96B-5249-93ED-64ED903CA99D}" name="PE8" dataDxfId="2186"/>
    <tableColumn id="10" xr3:uid="{8870CD52-48DF-8841-998E-4E415A2751E6}" name="PE9" dataDxfId="2185"/>
    <tableColumn id="11" xr3:uid="{93CEE660-F7F2-1242-8DB3-9770EDC47297}" name="PE10" dataDxfId="2184"/>
    <tableColumn id="12" xr3:uid="{7271FB2D-1E6B-FE46-89C9-E6D759BE0E9C}" name="PE11" dataDxfId="2183"/>
    <tableColumn id="13" xr3:uid="{F5323927-9C3C-1445-8A2F-D173633B0D4C}" name="PE12" dataDxfId="2182"/>
    <tableColumn id="14" xr3:uid="{F94286AA-0AD1-F44B-A550-F7D2B757B377}" name="PE13" dataDxfId="2181"/>
    <tableColumn id="15" xr3:uid="{3E87B3EC-0708-2840-B184-905CF0494D38}" name="PE14" dataDxfId="2180"/>
    <tableColumn id="16" xr3:uid="{937EBC93-3781-5349-A2AC-956E22021E08}" name="PE15" dataDxfId="2179"/>
    <tableColumn id="17" xr3:uid="{638B58F0-3B34-CD4E-B605-167004C8346E}" name="PE16" dataDxfId="2178"/>
    <tableColumn id="18" xr3:uid="{E1AD3DD0-1478-964D-8994-FF3EA6BE4C0F}" name="PE17" dataDxfId="2177"/>
    <tableColumn id="19" xr3:uid="{9E8E221E-BFCA-BA44-9CF6-97E06234E423}" name="PE18" dataDxfId="2176"/>
    <tableColumn id="20" xr3:uid="{C4FBB163-9E7D-C545-98D8-5012D5EBEE1F}" name="PE19" dataDxfId="2175"/>
    <tableColumn id="21" xr3:uid="{EB5F2E20-930D-4648-8D82-E36CBF64AD58}" name="PE20" dataDxfId="2174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3" dataDxfId="2172" tableBorderDxfId="2171" dataCellStyle="Comma">
  <autoFilter ref="AB598:AV691" xr:uid="{3609B58A-1615-B540-A3F4-6B519A654E28}"/>
  <tableColumns count="21">
    <tableColumn id="1" xr3:uid="{A0B04F0D-EC99-2549-B887-D57FA0D5E86F}" name="Gravity0" dataDxfId="2170" dataCellStyle="Percent"/>
    <tableColumn id="2" xr3:uid="{8D4C8AFE-708C-3547-976C-9A96BCBB8AFE}" name="Gravity1" dataDxfId="2169" dataCellStyle="Percent"/>
    <tableColumn id="3" xr3:uid="{7DFEBD87-178F-F64B-84A1-99F2119E39BA}" name="Gravity2" dataDxfId="2168" dataCellStyle="Percent"/>
    <tableColumn id="4" xr3:uid="{1D750563-D4F9-1A4D-A506-0AFE6C2D1D11}" name="Gravity3" dataDxfId="2167" dataCellStyle="Percent"/>
    <tableColumn id="5" xr3:uid="{0C9EE0C1-A0F5-A74E-8AB9-1AFD9B1C16DB}" name="Gravity4" dataDxfId="2166" dataCellStyle="Percent"/>
    <tableColumn id="6" xr3:uid="{9B19E6A0-AB29-C740-A355-E5A5CAD21CAB}" name="Gravity5" dataDxfId="2165" dataCellStyle="Percent"/>
    <tableColumn id="7" xr3:uid="{C28A85C1-D8C2-CA41-8F08-02E8F8024840}" name="Gravity6" dataDxfId="2164" dataCellStyle="Percent"/>
    <tableColumn id="8" xr3:uid="{357255E7-2CA0-0A43-9C09-B4D68962DF89}" name="Gravity7" dataDxfId="2163" dataCellStyle="Percent"/>
    <tableColumn id="9" xr3:uid="{C55B8262-AD8C-5141-BB34-1E2036804933}" name="Gravity8" dataDxfId="2162" dataCellStyle="Percent"/>
    <tableColumn id="10" xr3:uid="{298C0C4D-7682-4740-A283-7CAC9012D782}" name="Gravity9" dataDxfId="2161" dataCellStyle="Percent"/>
    <tableColumn id="11" xr3:uid="{B2D984E2-F2D7-B140-A5DB-627777F1DCD8}" name="Gravity10" dataDxfId="2160" dataCellStyle="Percent"/>
    <tableColumn id="12" xr3:uid="{9BB8DE4A-EB39-9548-A681-07940F2F801B}" name="Gravity11" dataDxfId="2159" dataCellStyle="Percent"/>
    <tableColumn id="13" xr3:uid="{76A3DECB-D825-C34E-8854-40CC9AFC168B}" name="Gravity12" dataDxfId="2158" dataCellStyle="Percent"/>
    <tableColumn id="14" xr3:uid="{AB485574-61F2-474C-89CB-FD8087756B5F}" name="Gravity13" dataDxfId="2157" dataCellStyle="Percent"/>
    <tableColumn id="15" xr3:uid="{438E0A68-B270-F947-817C-A58D392C7C30}" name="Gravity14" dataDxfId="2156" dataCellStyle="Percent"/>
    <tableColumn id="16" xr3:uid="{2B03B8A5-CB2F-C04E-B9AF-40D10250B197}" name="Gravity15" dataDxfId="2155" dataCellStyle="Percent"/>
    <tableColumn id="17" xr3:uid="{8387BA87-3B28-BE46-AD30-96A306038D1F}" name="Gravity16" dataDxfId="2154" dataCellStyle="Percent"/>
    <tableColumn id="18" xr3:uid="{F7904E93-BC46-0140-B3D6-49F92A3C3B5D}" name="Gravity17" dataDxfId="2153" dataCellStyle="Percent"/>
    <tableColumn id="19" xr3:uid="{672772F2-D35C-FE45-9C9E-A94C236B7B44}" name="Gravity18" dataDxfId="2152" dataCellStyle="Percent"/>
    <tableColumn id="20" xr3:uid="{208290DE-04CD-8449-90BB-B19A0603A99B}" name="Gravity19" dataDxfId="2151" dataCellStyle="Percent"/>
    <tableColumn id="21" xr3:uid="{D3DBFB11-389F-5340-8DDD-4E481D36F033}" name="Gravity20" dataDxfId="2150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9" dataDxfId="2148" tableBorderDxfId="2147">
  <autoFilter ref="F598:Z691" xr:uid="{4DCF9413-627E-A447-A977-39461A12B0A3}"/>
  <tableColumns count="21">
    <tableColumn id="1" xr3:uid="{6C815857-AD36-514F-8897-BFA64C5DF519}" name="Change0" dataDxfId="2146"/>
    <tableColumn id="2" xr3:uid="{D38C3A03-2443-AD4B-AABC-4865D01815F2}" name="Change1" dataDxfId="2145"/>
    <tableColumn id="3" xr3:uid="{F6A50E01-2E70-8A44-A203-8594C9A07E19}" name="Change2" dataDxfId="2144"/>
    <tableColumn id="4" xr3:uid="{706AC2D7-888F-424A-A18C-849A98565C59}" name="Change3" dataDxfId="2143"/>
    <tableColumn id="5" xr3:uid="{560434CF-FA00-224C-B78C-55A65C6677B2}" name="Change4" dataDxfId="2142"/>
    <tableColumn id="6" xr3:uid="{9BB8986A-CB07-764B-974F-0200B964D48F}" name="Change5" dataDxfId="2141"/>
    <tableColumn id="7" xr3:uid="{A2BACA41-D491-AB49-BEA6-9772D4BD92BB}" name="Change6" dataDxfId="2140"/>
    <tableColumn id="8" xr3:uid="{B018DF0E-1556-A640-A7CD-653956B49AF4}" name="Change7" dataDxfId="2139"/>
    <tableColumn id="9" xr3:uid="{0589AC3B-0F4E-9B4F-BB47-CE809EB1DBF8}" name="Change8" dataDxfId="2138"/>
    <tableColumn id="10" xr3:uid="{43E47C43-9E48-B94B-A809-58536D8414BF}" name="Change9" dataDxfId="2137"/>
    <tableColumn id="11" xr3:uid="{A0D7F08A-CDD4-414F-9F26-553F599CBBF1}" name="Change10" dataDxfId="2136"/>
    <tableColumn id="12" xr3:uid="{488D9FD5-AC07-7A41-BD58-03C91357C94E}" name="Change11" dataDxfId="2135"/>
    <tableColumn id="13" xr3:uid="{EE9196AD-D051-6B4A-A202-A7144C6DFD66}" name="Change12" dataDxfId="2134"/>
    <tableColumn id="14" xr3:uid="{98450C78-3B61-1240-A662-7D5D61F30136}" name="Change13" dataDxfId="2133"/>
    <tableColumn id="15" xr3:uid="{EFA82915-6798-D846-878D-4446ABAE0933}" name="Change14" dataDxfId="2132"/>
    <tableColumn id="16" xr3:uid="{1CB917FE-8C88-4342-92DA-8B016542CFD2}" name="Change15" dataDxfId="2131"/>
    <tableColumn id="17" xr3:uid="{42105FB5-22CD-9342-866F-5BA47B717B37}" name="Change16" dataDxfId="2130"/>
    <tableColumn id="18" xr3:uid="{9FDA4AD2-5AA7-AC4E-BDB4-8AA2B4A4A42A}" name="Change17" dataDxfId="2129"/>
    <tableColumn id="19" xr3:uid="{6F1473B0-92BE-D749-A143-3A92C357032F}" name="Change18" dataDxfId="2128"/>
    <tableColumn id="20" xr3:uid="{25B55CEC-14E6-7E42-9FB8-CC16C431ABE7}" name="Change19" dataDxfId="2127"/>
    <tableColumn id="21" xr3:uid="{C59011F9-9453-234D-A348-16CE831E6078}" name="Change20" dataDxfId="2126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5" dataDxfId="2124" tableBorderDxfId="2123" dataCellStyle="Comma">
  <autoFilter ref="AB697:AV790" xr:uid="{A5611BBA-DEBB-A742-816E-7FD6E0ADDC18}"/>
  <tableColumns count="21">
    <tableColumn id="1" xr3:uid="{9E345079-25ED-314A-BD31-D6BE104235D5}" name="Price_R_0" dataDxfId="2122" dataCellStyle="Comma"/>
    <tableColumn id="2" xr3:uid="{814A6345-1ED8-FE41-9109-8CD80D16593D}" name="Price_R_1" dataDxfId="2121" dataCellStyle="Comma"/>
    <tableColumn id="3" xr3:uid="{63A5BA5B-6637-7146-BCAB-AF0A6BD84542}" name="Price_R_2" dataDxfId="2120" dataCellStyle="Comma"/>
    <tableColumn id="4" xr3:uid="{C60CA0E4-422E-874F-B78B-A323C8C52AD9}" name="Price_R_3" dataDxfId="2119" dataCellStyle="Comma"/>
    <tableColumn id="5" xr3:uid="{7482E8DF-E6B5-9E41-8E12-A7E87DCC4331}" name="Price_R_4" dataDxfId="2118" dataCellStyle="Comma"/>
    <tableColumn id="6" xr3:uid="{D2D2A512-B5A8-7944-8FDD-4BCD959F2381}" name="Price_R_5" dataDxfId="2117" dataCellStyle="Comma"/>
    <tableColumn id="7" xr3:uid="{4F82805C-CC22-E74C-B851-5D6D0D84B7DC}" name="Price_R_6" dataDxfId="2116" dataCellStyle="Comma"/>
    <tableColumn id="8" xr3:uid="{BE4CDE83-DB86-9A48-85B9-E2A9B9E30C11}" name="Price_R_7" dataDxfId="2115" dataCellStyle="Comma"/>
    <tableColumn id="9" xr3:uid="{6C1BF96F-8EDB-6946-A2F3-C983E0C0C055}" name="Price_R_8" dataDxfId="2114" dataCellStyle="Comma"/>
    <tableColumn id="10" xr3:uid="{DA1EB53F-7FEE-8641-A52B-536EA3AB1DAC}" name="Price_R_9" dataDxfId="2113" dataCellStyle="Comma"/>
    <tableColumn id="11" xr3:uid="{A78F983A-0F51-D747-8420-29D3EA740487}" name="Price_R_10" dataDxfId="2112" dataCellStyle="Comma"/>
    <tableColumn id="12" xr3:uid="{6EE0B1E4-6446-F242-8E37-5BC854705E77}" name="Price_R_11" dataDxfId="2111" dataCellStyle="Comma"/>
    <tableColumn id="13" xr3:uid="{B85618C8-1B52-2A43-94AF-62D2CF27CAA3}" name="Price_R_12" dataDxfId="2110" dataCellStyle="Comma"/>
    <tableColumn id="14" xr3:uid="{6F404DC1-D1DD-7741-9D45-4928A4B19C45}" name="Price_R_13" dataDxfId="2109" dataCellStyle="Comma"/>
    <tableColumn id="15" xr3:uid="{B9BCB79E-3DF6-A845-AA0F-D76186F6F272}" name="Price_R_14" dataDxfId="2108" dataCellStyle="Comma"/>
    <tableColumn id="16" xr3:uid="{A3C7848D-67D3-FF45-8B42-6D9A6E4C865F}" name="Price_R_15" dataDxfId="2107" dataCellStyle="Comma"/>
    <tableColumn id="17" xr3:uid="{6385658D-D996-6E49-96D3-AC27BD18C68D}" name="Price_R_16" dataDxfId="2106" dataCellStyle="Comma"/>
    <tableColumn id="18" xr3:uid="{6755F4F7-AB0E-1140-BD86-0CEB49445E3C}" name="Price_R_17" dataDxfId="2105" dataCellStyle="Comma"/>
    <tableColumn id="19" xr3:uid="{5F2B6E7B-CF5C-004B-BBB8-34AC8C1B33C1}" name="Price_R_18" dataDxfId="2104" dataCellStyle="Comma"/>
    <tableColumn id="20" xr3:uid="{5BBB4D31-9AF3-3C40-A301-74F15E49AF4B}" name="Price_R_19" dataDxfId="2103" dataCellStyle="Comma"/>
    <tableColumn id="21" xr3:uid="{F53B7264-073C-B04C-AB0C-D9A23BDED3A3}" name="Price_R_20" dataDxfId="2102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101" dataDxfId="2100" tableBorderDxfId="2099" dataCellStyle="Percent">
  <autoFilter ref="F697:Z790" xr:uid="{217639E3-C9A3-E441-ACF7-1F3F452949DB}"/>
  <tableColumns count="21">
    <tableColumn id="1" xr3:uid="{07F85B24-C0AB-654A-99EE-FF2231A0E5E9}" name="Change%0" dataDxfId="2098" totalsRowDxfId="2097" dataCellStyle="Percent"/>
    <tableColumn id="2" xr3:uid="{6277BEEF-ED87-8F44-856D-A182DAC7D192}" name="Change%1" dataDxfId="2096" totalsRowDxfId="2095" dataCellStyle="Percent"/>
    <tableColumn id="3" xr3:uid="{81173F8B-762A-6F48-A5CE-466659ED4610}" name="Change%2" dataDxfId="2094" totalsRowDxfId="2093" dataCellStyle="Percent"/>
    <tableColumn id="4" xr3:uid="{5FAB3EA3-5005-BF42-8BD0-60FA27AB26A0}" name="Change%3" dataDxfId="2092" totalsRowDxfId="2091" dataCellStyle="Percent"/>
    <tableColumn id="5" xr3:uid="{263B0787-0B05-754C-BD4B-2E271E2ECCC7}" name="Change%4" dataDxfId="2090" totalsRowDxfId="2089" dataCellStyle="Percent"/>
    <tableColumn id="6" xr3:uid="{30CF5F57-193D-0442-A594-4E8DE2F03ADB}" name="Change%5" dataDxfId="2088" totalsRowDxfId="2087" dataCellStyle="Percent"/>
    <tableColumn id="7" xr3:uid="{4B8BFE6B-2BED-4D42-AEC9-87DFA508274E}" name="Change%6" dataDxfId="2086" totalsRowDxfId="2085" dataCellStyle="Percent"/>
    <tableColumn id="8" xr3:uid="{07CEB146-02E3-E541-9100-0CB50F4E0739}" name="Change%7" dataDxfId="2084" totalsRowDxfId="2083" dataCellStyle="Percent"/>
    <tableColumn id="9" xr3:uid="{4CDDB7A4-680A-2340-B992-0DC78E17A997}" name="Change%8" dataDxfId="2082" totalsRowDxfId="2081" dataCellStyle="Percent"/>
    <tableColumn id="10" xr3:uid="{9AA5B541-EC12-DE45-B4D3-4EE2138C5D3C}" name="Change%9" dataDxfId="2080" totalsRowDxfId="2079" dataCellStyle="Percent"/>
    <tableColumn id="11" xr3:uid="{DA0F2F38-7866-354A-AF05-3F766DEF3C41}" name="Change%10" dataDxfId="2078" totalsRowDxfId="2077" dataCellStyle="Percent"/>
    <tableColumn id="12" xr3:uid="{ACEEC37C-251A-744A-A91C-58964EEB2458}" name="Change%11" dataDxfId="2076" totalsRowDxfId="2075" dataCellStyle="Percent"/>
    <tableColumn id="13" xr3:uid="{64EA9527-9991-AA4B-B95F-7836E1D6B699}" name="Change%12" dataDxfId="2074" totalsRowDxfId="2073" dataCellStyle="Percent"/>
    <tableColumn id="14" xr3:uid="{BF77A13F-B55D-E945-85FD-1B2DEE78796D}" name="Change%13" dataDxfId="2072" totalsRowDxfId="2071" dataCellStyle="Percent"/>
    <tableColumn id="15" xr3:uid="{37253EE7-EBB5-FB4C-AAD0-28CC218B6D0F}" name="Change%14" dataDxfId="2070" totalsRowDxfId="2069" dataCellStyle="Percent"/>
    <tableColumn id="16" xr3:uid="{67C0BADF-9353-854D-BCD6-DB9E43EE9E3E}" name="Change%15" dataDxfId="2068" totalsRowDxfId="2067" dataCellStyle="Percent"/>
    <tableColumn id="17" xr3:uid="{8C76684D-54C9-0441-8A71-E4B91154A635}" name="Change%16" dataDxfId="2066" totalsRowDxfId="2065" dataCellStyle="Percent"/>
    <tableColumn id="18" xr3:uid="{09F452FF-F0DF-F44D-8DCF-4990F34FA347}" name="Change%17" dataDxfId="2064" totalsRowDxfId="2063" dataCellStyle="Percent"/>
    <tableColumn id="19" xr3:uid="{0F279240-DB4F-A344-BDFA-918E88A0673B}" name="Change%18" dataDxfId="2062" totalsRowDxfId="2061" dataCellStyle="Percent"/>
    <tableColumn id="20" xr3:uid="{1D897499-2474-6042-AF31-D19B07F64D1C}" name="Change%19" dataDxfId="2060" totalsRowDxfId="2059" dataCellStyle="Percent"/>
    <tableColumn id="21" xr3:uid="{2E614D1E-AA18-8C46-95FC-92384A1FC5E5}" name="Change%20" dataDxfId="2058" totalsRowDxfId="2057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6" dataDxfId="2055" tableBorderDxfId="2054" dataCellStyle="Comma">
  <autoFilter ref="AB796:AV889" xr:uid="{1DC97B12-567A-5F43-B215-F635C4FFAF56}"/>
  <tableColumns count="21">
    <tableColumn id="1" xr3:uid="{727EC8D5-2244-CA4D-B85E-1371B26803A7}" name="CH-R-0" dataDxfId="2053" dataCellStyle="Comma"/>
    <tableColumn id="2" xr3:uid="{1D4D9313-D8EA-EE45-834B-B8110298E57E}" name="CH-R-1" dataDxfId="2052" dataCellStyle="Comma"/>
    <tableColumn id="3" xr3:uid="{BFBBF7D3-3ACF-E04D-8ACF-5FC756167FF7}" name="CH-R-2" dataDxfId="2051" dataCellStyle="Comma"/>
    <tableColumn id="4" xr3:uid="{8AB840F2-736F-CA41-A42D-74A8241D8796}" name="CH-R-3" dataDxfId="2050" dataCellStyle="Comma"/>
    <tableColumn id="5" xr3:uid="{5D1E54CB-AE29-0144-B1FC-B3B15533987B}" name="CH-R-4" dataDxfId="2049" dataCellStyle="Comma"/>
    <tableColumn id="6" xr3:uid="{BA1BC152-62C6-244E-85BC-7E4C47ECE56F}" name="CH-R-5" dataDxfId="2048" dataCellStyle="Comma"/>
    <tableColumn id="7" xr3:uid="{0FB3DBC1-359D-0D4A-A6BD-6D34EB9BE4B5}" name="CH-R-6" dataDxfId="2047" dataCellStyle="Comma"/>
    <tableColumn id="8" xr3:uid="{C5DF6FC7-DD4A-6B48-936C-A6C0052CA0E2}" name="CH-R-7" dataDxfId="2046" dataCellStyle="Comma"/>
    <tableColumn id="9" xr3:uid="{294D38E4-945E-E243-AF30-979EE13B6E0E}" name="CH-R-8" dataDxfId="2045" dataCellStyle="Comma"/>
    <tableColumn id="10" xr3:uid="{1003CB93-FC9A-3047-A4AD-4014B5E1BDB1}" name="CH-R-9" dataDxfId="2044" dataCellStyle="Comma"/>
    <tableColumn id="11" xr3:uid="{59E8ED13-A37B-A548-9E5F-0C631205C7A6}" name="CH-R-10" dataDxfId="2043" dataCellStyle="Comma"/>
    <tableColumn id="12" xr3:uid="{F8B58B23-BC44-2C4F-94DD-52848147470C}" name="CH-R-11" dataDxfId="2042" dataCellStyle="Comma"/>
    <tableColumn id="13" xr3:uid="{6587F87F-94FF-3948-A1ED-50697B285DD9}" name="CH-R-12" dataDxfId="2041" dataCellStyle="Comma"/>
    <tableColumn id="14" xr3:uid="{5F72F02E-D1EB-0A48-AC14-631092D2AB8F}" name="CH-R-13" dataDxfId="2040" dataCellStyle="Comma"/>
    <tableColumn id="15" xr3:uid="{40CDB037-F34C-2C46-A44D-4EEB99A4F48A}" name="CH-R-14" dataDxfId="2039" dataCellStyle="Comma"/>
    <tableColumn id="16" xr3:uid="{36A7D946-56B9-424A-AC3F-16C20613B32D}" name="CH-R-15" dataDxfId="2038" dataCellStyle="Comma"/>
    <tableColumn id="17" xr3:uid="{98778DB8-B67D-2440-B38A-5470013D7E4A}" name="CH-R-16" dataDxfId="2037" dataCellStyle="Comma"/>
    <tableColumn id="18" xr3:uid="{4B26C77F-CDA1-384A-A838-99098596B1CA}" name="CH-R-17" dataDxfId="2036" dataCellStyle="Comma"/>
    <tableColumn id="19" xr3:uid="{D80360C1-FD36-B649-BA53-444CF7B6B399}" name="CH-R-18" dataDxfId="2035" dataCellStyle="Comma"/>
    <tableColumn id="20" xr3:uid="{70AEF62D-042F-584F-A3F6-7A20A448F2FA}" name="CH-R-19" dataDxfId="2034" dataCellStyle="Comma"/>
    <tableColumn id="21" xr3:uid="{0399200B-8517-864B-BB3B-55D173BBA511}" name="CH-R-20" dataDxfId="2033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2" dataDxfId="2031" tableBorderDxfId="2030">
  <autoFilter ref="F796:Z889" xr:uid="{DE443FDB-A09F-D546-9DCC-6F79C8591A3A}"/>
  <tableColumns count="21">
    <tableColumn id="1" xr3:uid="{66DF501E-0E04-284D-AE56-250C1181933A}" name="LOW520" dataDxfId="2029"/>
    <tableColumn id="2" xr3:uid="{51019CAA-7B7B-8843-BBCF-5E5CF4955750}" name="LOW521" dataDxfId="2028"/>
    <tableColumn id="3" xr3:uid="{2F991A5F-695C-964A-B29C-4DD5E41602D3}" name="LOW522" dataDxfId="2027"/>
    <tableColumn id="4" xr3:uid="{AB3D5084-566B-2B4F-9C79-27669957BB9F}" name="LOW523" dataDxfId="2026"/>
    <tableColumn id="5" xr3:uid="{6C53359E-20BC-C146-9D57-DC52E93E1D0E}" name="LOW524" dataDxfId="2025"/>
    <tableColumn id="6" xr3:uid="{70979044-9A70-5441-A295-C2836D7D4EED}" name="LOW525" dataDxfId="2024"/>
    <tableColumn id="7" xr3:uid="{80D3193C-0073-D342-AB91-282BC9934C5D}" name="LOW526" dataDxfId="2023"/>
    <tableColumn id="8" xr3:uid="{1F04BB25-949C-A647-B2F5-3D7AAD3EE4C5}" name="LOW527" dataDxfId="2022"/>
    <tableColumn id="9" xr3:uid="{9BA5549A-8A81-D144-8C7C-F545ADD31E5A}" name="LOW528" dataDxfId="2021"/>
    <tableColumn id="10" xr3:uid="{8500AE99-78F5-2544-959C-444C1B16D49C}" name="LOW529" dataDxfId="2020"/>
    <tableColumn id="11" xr3:uid="{3DB600FC-DD7E-DA49-BBB5-1B3A8D390CA1}" name="LOW530" dataDxfId="2019"/>
    <tableColumn id="12" xr3:uid="{B776E02F-5049-7C41-9287-FC66BD83FD7C}" name="LOW531" dataDxfId="2018"/>
    <tableColumn id="13" xr3:uid="{2A31C167-B981-AA42-AD62-98EB96BEFE66}" name="LOW532" dataDxfId="2017"/>
    <tableColumn id="14" xr3:uid="{D9B09FFF-8924-C041-A13C-2CF52F057E93}" name="LOW533" dataDxfId="2016"/>
    <tableColumn id="15" xr3:uid="{C89D40B5-88F9-7F40-9C11-C00C2540EF0B}" name="LOW534" dataDxfId="2015"/>
    <tableColumn id="16" xr3:uid="{5B579388-FC67-8E4A-91A7-9373EE02FD6D}" name="LOW535" dataDxfId="2014"/>
    <tableColumn id="17" xr3:uid="{BA4BE745-0FD6-B44F-B87F-E6D03EF83F74}" name="LOW536" dataDxfId="2013"/>
    <tableColumn id="18" xr3:uid="{4F99BD31-6BBB-4C4E-AF0E-C5201824FB40}" name="LOW537" dataDxfId="2012"/>
    <tableColumn id="19" xr3:uid="{027111A8-F0C3-2E49-B4C8-66CA04669A75}" name="LOW538" dataDxfId="2011"/>
    <tableColumn id="20" xr3:uid="{898C76AA-1E86-5248-9312-D2A982DF2BC1}" name="LOW539" dataDxfId="2010"/>
    <tableColumn id="21" xr3:uid="{4ED07DB6-2955-E747-8AD4-966FA8287E02}" name="LOW540" dataDxfId="2009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8" dataDxfId="2007" tableBorderDxfId="2006">
  <autoFilter ref="F895:Z988" xr:uid="{A1989BE9-E4C8-204A-8EC4-E515463D6985}"/>
  <tableColumns count="21">
    <tableColumn id="1" xr3:uid="{CCDAF27B-3366-AB41-9C05-67D8AB44D4C7}" name="HIGH520" dataDxfId="2005" dataCellStyle="Comma"/>
    <tableColumn id="2" xr3:uid="{66800E83-F458-F641-A4A6-8E929A7BC7C5}" name="HIGH521" dataDxfId="2004"/>
    <tableColumn id="3" xr3:uid="{50281050-1392-2349-A75F-437D63C0923A}" name="HIGH522" dataDxfId="2003"/>
    <tableColumn id="4" xr3:uid="{02987E0E-C4C8-F64F-A903-54444C25D7A5}" name="HIGH523" dataDxfId="2002"/>
    <tableColumn id="5" xr3:uid="{1C8321CF-3789-B942-8086-84D8FC5EF89B}" name="HIGH524" dataDxfId="2001"/>
    <tableColumn id="6" xr3:uid="{8EF5F9E0-0987-2244-862B-B4A06B974900}" name="HIGH525" dataDxfId="2000"/>
    <tableColumn id="7" xr3:uid="{74B46C00-40B4-3A45-8BC9-0EC98E687645}" name="HIGH526" dataDxfId="1999"/>
    <tableColumn id="8" xr3:uid="{13302214-C76A-9E43-852A-951084F77FEA}" name="HIGH527" dataDxfId="1998"/>
    <tableColumn id="9" xr3:uid="{36EAB480-A1A3-084D-BFBC-05E7EE00265E}" name="HIGH528" dataDxfId="1997"/>
    <tableColumn id="10" xr3:uid="{F3503877-08D5-6948-B0C1-AC821D9C45C5}" name="HIGH529" dataDxfId="1996"/>
    <tableColumn id="11" xr3:uid="{32C868C5-378D-FF40-812E-1D62D5C262B5}" name="HIGH530" dataDxfId="1995"/>
    <tableColumn id="12" xr3:uid="{974976C8-811B-B542-9ACC-A07556104D5D}" name="HIGH531" dataDxfId="1994"/>
    <tableColumn id="13" xr3:uid="{8EFA0DD6-DC2A-FB4D-BFF3-7DD01DC6CD24}" name="HIGH532" dataDxfId="1993"/>
    <tableColumn id="14" xr3:uid="{A6F85B1E-9147-4F47-A979-FBAEA4A15F17}" name="HIGH533" dataDxfId="1992"/>
    <tableColumn id="15" xr3:uid="{F3D09233-8B42-B448-BF0C-B6AB160E9B03}" name="HIGH534" dataDxfId="1991"/>
    <tableColumn id="16" xr3:uid="{FEB17489-56E2-BF43-A14A-29AF2FB81F6F}" name="HIGH535" dataDxfId="1990"/>
    <tableColumn id="17" xr3:uid="{B41E1FB1-F71C-2348-8B12-860AF115417C}" name="HIGH536" dataDxfId="1989"/>
    <tableColumn id="18" xr3:uid="{C1BB1E6B-5675-A346-A11C-A87C031AD1A5}" name="HIGH537" dataDxfId="1988"/>
    <tableColumn id="19" xr3:uid="{86E6ADFF-340C-9146-9B5E-4E9C76C88F59}" name="HIGH538" dataDxfId="1987"/>
    <tableColumn id="20" xr3:uid="{EFB55E1D-EB5D-FD4F-ABE5-FB8031ED630E}" name="HIGH539" dataDxfId="1986"/>
    <tableColumn id="21" xr3:uid="{5617BEFC-D126-7146-A1A8-E3206935A4F5}" name="HIGH540" dataDxfId="1985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4" dataDxfId="1983" tableBorderDxfId="1982">
  <autoFilter ref="F994:Z1087" xr:uid="{8DAF20EC-FF35-DE4F-9098-7E9343F0641B}"/>
  <tableColumns count="21">
    <tableColumn id="1" xr3:uid="{B3E72227-C152-6545-AAB1-0674C78DD4CA}" name="Volume0" dataDxfId="1981"/>
    <tableColumn id="2" xr3:uid="{44BDEDA8-E930-DC4B-82C0-675E1102E708}" name="Volume1" dataDxfId="1980"/>
    <tableColumn id="3" xr3:uid="{2B2A1DCE-B9EC-3F43-BD26-58D797066ACD}" name="Volume2" dataDxfId="1979"/>
    <tableColumn id="4" xr3:uid="{DFE41D08-A256-C94D-B744-ECF9E816875C}" name="Volume3" dataDxfId="1978"/>
    <tableColumn id="5" xr3:uid="{C0DF0F2F-58F0-714A-9FF4-A8682A1F3C0B}" name="Volume4" dataDxfId="1977"/>
    <tableColumn id="6" xr3:uid="{6173CC3E-D986-EC43-984F-D946E06D5B94}" name="Volume5" dataDxfId="1976"/>
    <tableColumn id="7" xr3:uid="{114AAB9D-4B2B-A647-9313-BCBA903A3513}" name="Volume6" dataDxfId="1975"/>
    <tableColumn id="8" xr3:uid="{53EFA4DE-9A07-FE47-A251-BB8D255E4EB8}" name="Volume7" dataDxfId="1974"/>
    <tableColumn id="9" xr3:uid="{18C94A55-2F25-084A-9640-943067E91284}" name="Volume8" dataDxfId="1973"/>
    <tableColumn id="10" xr3:uid="{836BAD23-7619-4645-8764-EB77B1427659}" name="Volume9" dataDxfId="1972"/>
    <tableColumn id="11" xr3:uid="{E4A6B4E0-74F0-8D4B-96CF-D56C7DD8F08A}" name="Volume10" dataDxfId="1971"/>
    <tableColumn id="12" xr3:uid="{C1A9A2E3-93CC-3041-9EC2-31623DCABB6C}" name="Volume11" dataDxfId="1970"/>
    <tableColumn id="13" xr3:uid="{E0142E08-C564-E443-9FC7-0607E2316E25}" name="Volume12" dataDxfId="1969"/>
    <tableColumn id="14" xr3:uid="{8D53300E-D5DB-7B42-8845-1B0A2E494262}" name="Volume13" dataDxfId="1968"/>
    <tableColumn id="15" xr3:uid="{9DFECEBD-3B06-3E43-AF7E-8644958914AE}" name="Volume14" dataDxfId="1967"/>
    <tableColumn id="16" xr3:uid="{DC69221A-F447-8A42-A5D4-462EE430A9BC}" name="Volume15" dataDxfId="1966"/>
    <tableColumn id="17" xr3:uid="{86A2E9AF-0E5A-0F4A-B409-7F6E53DA4CCF}" name="Volume16" dataDxfId="1965"/>
    <tableColumn id="18" xr3:uid="{746B717B-21BA-4346-96B2-7048F7EA0275}" name="Volume17" dataDxfId="1964"/>
    <tableColumn id="19" xr3:uid="{F6963C48-F97C-6D47-BE9D-5BB0B53684CD}" name="Volume18" dataDxfId="1963"/>
    <tableColumn id="20" xr3:uid="{B44B7DF5-2539-D747-8014-370786A69140}" name="Volume19" dataDxfId="1962"/>
    <tableColumn id="21" xr3:uid="{CD202E5D-BEC6-DC45-83A1-369B18AD153F}" name="Volume20" dataDxfId="1961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60" dataDxfId="1959" tableBorderDxfId="1958" dataCellStyle="Comma">
  <autoFilter ref="F1093:Z1186" xr:uid="{3EE0B227-8581-DE42-9CB7-10D8CA661FF2}"/>
  <tableColumns count="21">
    <tableColumn id="1" xr3:uid="{C85E8DCA-5245-5048-8F18-181D1CC88078}" name="VolumeAV0" dataDxfId="1957" dataCellStyle="Comma"/>
    <tableColumn id="2" xr3:uid="{552BBB2F-D8F3-9E4F-8187-798F57E91491}" name="VolumeAV1" dataDxfId="1956" dataCellStyle="Comma"/>
    <tableColumn id="3" xr3:uid="{E206F8A1-0B59-7A4C-84A7-52F3D3E42580}" name="VolumeAV2" dataDxfId="1955" dataCellStyle="Comma"/>
    <tableColumn id="4" xr3:uid="{7A6E365D-A83C-BF4C-B6FB-F9815FE99ED7}" name="VolumeAV3" dataDxfId="1954" dataCellStyle="Comma"/>
    <tableColumn id="5" xr3:uid="{AA8BBD46-ADC4-DF45-B244-3F7AAE4826E9}" name="VolumeAV4" dataDxfId="1953" dataCellStyle="Comma"/>
    <tableColumn id="6" xr3:uid="{F877F64B-6397-4642-B5BD-0B3AD6FF5DB0}" name="VolumeAV5" dataDxfId="1952" dataCellStyle="Comma"/>
    <tableColumn id="7" xr3:uid="{55A6F6E2-CA7E-3044-8359-1172E697A40B}" name="VolumeAV6" dataDxfId="1951" dataCellStyle="Comma"/>
    <tableColumn id="8" xr3:uid="{CDA1A456-FD81-0E41-9FC9-B01A1A75506A}" name="VolumeAV7" dataDxfId="1950" dataCellStyle="Comma"/>
    <tableColumn id="9" xr3:uid="{F9EA7004-940F-4E42-9E05-45ACC60D31E3}" name="VolumeAV8" dataDxfId="1949" dataCellStyle="Comma"/>
    <tableColumn id="10" xr3:uid="{32FCDE73-4126-D643-A9EA-46C7A1AB5C2C}" name="VolumeAV9" dataDxfId="1948" dataCellStyle="Comma"/>
    <tableColumn id="11" xr3:uid="{7439CF2B-B03F-B349-A5AD-03A86DA63C60}" name="VolumeAV10" dataDxfId="1947" dataCellStyle="Comma"/>
    <tableColumn id="12" xr3:uid="{C0B9B680-5103-AE4E-ABA5-DC0D3B8256CD}" name="VolumeAV11" dataDxfId="1946" dataCellStyle="Comma"/>
    <tableColumn id="13" xr3:uid="{23A5D386-C520-0B4B-BF4E-FAAA66D794D4}" name="VolumeAV12" dataDxfId="1945" dataCellStyle="Comma"/>
    <tableColumn id="14" xr3:uid="{98A613A1-A0C8-CE4A-BD85-8FE3FB18160D}" name="VolumeAV13" dataDxfId="1944" dataCellStyle="Comma"/>
    <tableColumn id="15" xr3:uid="{A7A58C4F-A83C-2D4A-B754-9B307634A5A4}" name="VolumeAV14" dataDxfId="1943" dataCellStyle="Comma"/>
    <tableColumn id="16" xr3:uid="{F8BBBBA1-2662-2841-82D7-65FA8FA94BC2}" name="VolumeAV15" dataDxfId="1942" dataCellStyle="Comma"/>
    <tableColumn id="17" xr3:uid="{1E3A524D-09C1-1547-98DB-667D506C3291}" name="VolumeAV16" dataDxfId="1941" dataCellStyle="Comma"/>
    <tableColumn id="18" xr3:uid="{75328263-19F5-9E41-A079-EA70EAB2BD37}" name="VolumeAV17" dataDxfId="1940" dataCellStyle="Comma"/>
    <tableColumn id="19" xr3:uid="{7429A8D8-0A57-E74F-9269-8E54044F49AB}" name="VolumeAV18" dataDxfId="1939" dataCellStyle="Comma"/>
    <tableColumn id="20" xr3:uid="{575D40F2-3F48-1D4D-9813-1574FF33990B}" name="VolumeAV19" dataDxfId="1938" dataCellStyle="Comma"/>
    <tableColumn id="21" xr3:uid="{E4DCEDCE-1D73-E54B-8746-C7B82073AA57}" name="VolumeAV20" dataDxfId="1937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6" dataDxfId="1935" tableBorderDxfId="1934">
  <autoFilter ref="F1192:Z1285" xr:uid="{071FD0FF-AECC-C844-91B0-2D3814BAA800}"/>
  <tableColumns count="21">
    <tableColumn id="1" xr3:uid="{3E6BCBC8-17C5-D544-8397-29CB96C09FB0}" name="BETA0" dataDxfId="1933"/>
    <tableColumn id="2" xr3:uid="{EA9DF148-0896-0241-9853-BCCF84E573C7}" name="BETA1" dataDxfId="1932"/>
    <tableColumn id="3" xr3:uid="{305CE689-D655-3047-8897-0CB222FC9C97}" name="BETA2" dataDxfId="1931"/>
    <tableColumn id="4" xr3:uid="{B642F9B5-64FD-F541-A471-56F96D4838D5}" name="BETA3" dataDxfId="1930"/>
    <tableColumn id="5" xr3:uid="{7D408C4F-A6DA-7744-90B5-58BED4DCA387}" name="BETA4" dataDxfId="1929"/>
    <tableColumn id="6" xr3:uid="{1C388ED8-51FC-FC4B-8218-215A76F7FE67}" name="BETA5" dataDxfId="1928"/>
    <tableColumn id="7" xr3:uid="{E7CDFCD7-DA4D-2449-AF1E-C02968632992}" name="BETA6" dataDxfId="1927"/>
    <tableColumn id="8" xr3:uid="{85FC13AF-AA4A-F542-9735-2441281158E1}" name="BETA7" dataDxfId="1926"/>
    <tableColumn id="9" xr3:uid="{99F619D1-DC28-C640-9EA1-3B3528D0F909}" name="BETA8" dataDxfId="1925"/>
    <tableColumn id="10" xr3:uid="{8EF98610-5953-1744-9F07-FCBA4B8DAD80}" name="BETA9" dataDxfId="1924"/>
    <tableColumn id="11" xr3:uid="{48405BC4-9142-8448-A3A7-0E5B30515726}" name="BETA10" dataDxfId="1923"/>
    <tableColumn id="12" xr3:uid="{4B254EFA-F69B-CD48-95A7-E3DD170FDAF6}" name="BETA11" dataDxfId="1922"/>
    <tableColumn id="13" xr3:uid="{F4BD7B80-FE62-584F-87F5-9610991B2DF9}" name="BETA12" dataDxfId="1921"/>
    <tableColumn id="14" xr3:uid="{997D1600-D275-2448-9059-48C623B70DBD}" name="BETA13" dataDxfId="1920"/>
    <tableColumn id="15" xr3:uid="{7FB75DCB-5880-334F-A05B-5C68FD891D9C}" name="BETA14" dataDxfId="1919"/>
    <tableColumn id="16" xr3:uid="{29D4352B-3770-A444-8C39-24FF6DCF527D}" name="BETA15" dataDxfId="1918"/>
    <tableColumn id="17" xr3:uid="{CC6C6D3F-4D9E-FB4E-870B-9E37C67A1E94}" name="BETA16" dataDxfId="1917"/>
    <tableColumn id="18" xr3:uid="{B6C6B591-4B12-5B48-B6EE-A7BF688195FF}" name="BETA17" dataDxfId="1916"/>
    <tableColumn id="19" xr3:uid="{91C40A07-D511-6C45-9282-58D43AF5D020}" name="BETA18" dataDxfId="1915"/>
    <tableColumn id="20" xr3:uid="{4980A1EB-51EE-2C4F-B65C-97ED9A3D26B5}" name="BETA19" dataDxfId="1914"/>
    <tableColumn id="21" xr3:uid="{C4D8FCC4-CF6E-EF4C-8612-A56614867063}" name="BETA20" dataDxfId="1913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2" dataDxfId="1911" tableBorderDxfId="1910" dataCellStyle="Comma">
  <autoFilter ref="AB895:AV988" xr:uid="{6B77735E-46E6-7545-A642-770D818A2D75}"/>
  <tableColumns count="21">
    <tableColumn id="1" xr3:uid="{78A7C6E8-2822-4343-B8B3-B58D5A5C861C}" name="RSI0" dataDxfId="1909" dataCellStyle="Comma"/>
    <tableColumn id="2" xr3:uid="{E98CCE09-2573-4E47-ACFE-022664B84B4C}" name="RSI1" dataDxfId="1908" dataCellStyle="Comma"/>
    <tableColumn id="3" xr3:uid="{ACFE02A1-D8BD-EB4A-B834-5B28E9ACC18D}" name="RSI2" dataDxfId="1907" dataCellStyle="Comma"/>
    <tableColumn id="4" xr3:uid="{B6282100-5411-B14D-A9C9-B2CAC437FBB9}" name="RSI3" dataDxfId="1906" dataCellStyle="Comma"/>
    <tableColumn id="5" xr3:uid="{7A8EE7B4-22B4-404D-B15A-BC6B8B952E38}" name="RSI4" dataDxfId="1905" dataCellStyle="Comma"/>
    <tableColumn id="6" xr3:uid="{2989F0E1-E812-514F-95E6-26AA98E62E04}" name="RSI5" dataDxfId="1904" dataCellStyle="Comma"/>
    <tableColumn id="7" xr3:uid="{A8D8FA8D-9763-1640-AB49-A2CC0DF27AD9}" name="RSI6" dataDxfId="1903" dataCellStyle="Comma"/>
    <tableColumn id="8" xr3:uid="{2383B8DB-8E34-2045-80E5-BFC5F537D306}" name="RSI7" dataDxfId="1902" dataCellStyle="Comma"/>
    <tableColumn id="9" xr3:uid="{BEE36186-0446-AA4E-A48D-58473919680F}" name="RSI8" dataDxfId="1901" dataCellStyle="Comma"/>
    <tableColumn id="10" xr3:uid="{3056AA09-B75A-3F47-BA0C-4BC0730AA9A2}" name="RSI9" dataDxfId="1900" dataCellStyle="Comma"/>
    <tableColumn id="11" xr3:uid="{88D58233-4FE5-6D43-8260-B992739672EC}" name="RSI10" dataDxfId="1899" dataCellStyle="Comma"/>
    <tableColumn id="12" xr3:uid="{D08F0A16-307A-CB4E-B109-169320FBD1E9}" name="RSI11" dataDxfId="1898" dataCellStyle="Comma"/>
    <tableColumn id="13" xr3:uid="{5675D356-6E8F-7140-84E2-2760931C0061}" name="RSI12" dataDxfId="1897" dataCellStyle="Comma"/>
    <tableColumn id="14" xr3:uid="{56E1F75D-E50B-6941-9C85-C8456F3A502D}" name="RSI13" dataDxfId="1896" dataCellStyle="Comma"/>
    <tableColumn id="15" xr3:uid="{0EB5233D-4800-3B48-8C4D-83F182791517}" name="RSI14" dataDxfId="1895" dataCellStyle="Comma"/>
    <tableColumn id="16" xr3:uid="{F1DA6FAA-219D-DB40-888E-4B8355632C3E}" name="RSI15" dataDxfId="1894" dataCellStyle="Comma"/>
    <tableColumn id="17" xr3:uid="{87038607-300B-9A4E-8AB1-32360C0BCED1}" name="RSI16" dataDxfId="1893" dataCellStyle="Comma"/>
    <tableColumn id="18" xr3:uid="{216E4659-AF11-2749-A023-E9DBCA3D3FA2}" name="RSI17" dataDxfId="1892" dataCellStyle="Comma"/>
    <tableColumn id="19" xr3:uid="{3369DE30-2A5A-4049-8BC3-16DCF75D83FE}" name="RSI18" dataDxfId="1891" dataCellStyle="Comma"/>
    <tableColumn id="20" xr3:uid="{48350DE2-6BE5-1345-84B2-782B10F06A03}" name="RSI19" dataDxfId="1890" dataCellStyle="Comma"/>
    <tableColumn id="21" xr3:uid="{48474E5F-00E7-A24D-9184-B6F5A16251A0}" name="RSI20" dataDxfId="1889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8" dataDxfId="1887" tableBorderDxfId="1886" dataCellStyle="Comma">
  <autoFilter ref="AB994:AV1087" xr:uid="{55876AF5-DDC5-0C46-8253-9CE2A2026D21}"/>
  <tableColumns count="21">
    <tableColumn id="1" xr3:uid="{7881D38C-EE57-AD43-9C51-A2D36B2DD1C0}" name="RSIConv0" dataDxfId="1885" dataCellStyle="Comma"/>
    <tableColumn id="2" xr3:uid="{273702F5-9D3C-9F4A-80D0-0DCDBB3DCD59}" name="RSIConv1" dataDxfId="1884" dataCellStyle="Comma"/>
    <tableColumn id="3" xr3:uid="{83DCA11F-CA44-8848-8B85-F0B2E37C4F0C}" name="RSIConv2" dataDxfId="1883" dataCellStyle="Comma"/>
    <tableColumn id="4" xr3:uid="{55C21B30-B418-0D45-AD39-1565CF1997A1}" name="RSIConv3" dataDxfId="1882" dataCellStyle="Comma"/>
    <tableColumn id="5" xr3:uid="{BB9B84B0-BCEB-794C-8FF2-D58E69348C06}" name="RSIConv4" dataDxfId="1881" dataCellStyle="Comma"/>
    <tableColumn id="6" xr3:uid="{097186E5-7C8A-3F41-B35A-49384289CD0F}" name="RSIConv5" dataDxfId="1880" dataCellStyle="Comma"/>
    <tableColumn id="7" xr3:uid="{CC05FA3D-FFB7-BE47-99D3-2646C96C0CBF}" name="RSIConv6" dataDxfId="1879" dataCellStyle="Comma"/>
    <tableColumn id="8" xr3:uid="{CB2150CC-BF4D-D345-A7AA-4181448136A7}" name="RSIConv7" dataDxfId="1878" dataCellStyle="Comma"/>
    <tableColumn id="9" xr3:uid="{72A1979C-0FD2-9F4E-AFE5-CBD747F6B4AA}" name="RSIConv8" dataDxfId="1877" dataCellStyle="Comma"/>
    <tableColumn id="10" xr3:uid="{D515DCE0-17C5-8E42-BAD4-109A2A5298F0}" name="RSIConv9" dataDxfId="1876" dataCellStyle="Comma"/>
    <tableColumn id="11" xr3:uid="{F44C4C40-F6CC-1941-9573-4BA0D73A8D58}" name="RSIConv10" dataDxfId="1875" dataCellStyle="Comma"/>
    <tableColumn id="12" xr3:uid="{4DE80765-1FE2-A649-B6F3-0C2B4518761C}" name="RSIConv11" dataDxfId="1874" dataCellStyle="Comma"/>
    <tableColumn id="13" xr3:uid="{8544D363-8B56-7C43-95EE-FFDB1DEA969C}" name="RSIConv12" dataDxfId="1873" dataCellStyle="Comma"/>
    <tableColumn id="14" xr3:uid="{D60B5757-70FA-A245-9445-8A97AB6A0396}" name="RSIConv13" dataDxfId="1872" dataCellStyle="Comma"/>
    <tableColumn id="15" xr3:uid="{B4235226-F5D9-DD46-910F-103FE2B1C3B9}" name="RSIConv14" dataDxfId="1871" dataCellStyle="Comma"/>
    <tableColumn id="16" xr3:uid="{05479B02-8B5D-8441-B9F1-DB51C7A70F30}" name="RSIConv15" dataDxfId="1870" dataCellStyle="Comma"/>
    <tableColumn id="17" xr3:uid="{2C4FA0F3-DB10-274D-8CF3-2AE6D06CE419}" name="RSIConv16" dataDxfId="1869" dataCellStyle="Comma"/>
    <tableColumn id="18" xr3:uid="{58D242FC-0690-DD47-B0BA-60ED63154F95}" name="RSIConv17" dataDxfId="1868" dataCellStyle="Comma"/>
    <tableColumn id="19" xr3:uid="{65EAB3BB-4FC4-6448-B97E-F13E83B68528}" name="RSIConv18" dataDxfId="1867" dataCellStyle="Comma"/>
    <tableColumn id="20" xr3:uid="{E85541A1-4E16-B549-87E0-867D3FA7AB11}" name="RSIConv19" dataDxfId="1866" dataCellStyle="Comma"/>
    <tableColumn id="21" xr3:uid="{62EE7DD4-57B6-1B4B-BB14-920C26DA151F}" name="RSIConv20" dataDxfId="1865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4" dataDxfId="1863" tableBorderDxfId="1862" dataCellStyle="Comma">
  <autoFilter ref="AB1093:AV1186" xr:uid="{A6858140-8021-514E-B3E1-C7BF94FA0033}"/>
  <tableColumns count="21">
    <tableColumn id="1" xr3:uid="{E298D0BD-45AF-4148-9BAD-429094EF8271}" name="Cash0" dataDxfId="1861" dataCellStyle="Comma"/>
    <tableColumn id="2" xr3:uid="{86547C8D-C915-714E-9477-0F23E52B00F6}" name="Cash1" dataDxfId="1860" dataCellStyle="Comma"/>
    <tableColumn id="3" xr3:uid="{36D62499-6FBB-044B-ABE4-67E8EC92B406}" name="Cash2" dataDxfId="1859" dataCellStyle="Comma"/>
    <tableColumn id="4" xr3:uid="{95CBFF96-C40A-394B-871E-117B86F71A75}" name="Cash3" dataDxfId="1858" dataCellStyle="Comma"/>
    <tableColumn id="5" xr3:uid="{40B0C993-D356-544E-8F72-B25CD1561DB9}" name="Cash4" dataDxfId="1857" dataCellStyle="Comma"/>
    <tableColumn id="6" xr3:uid="{16105271-212F-7F47-BCE1-3C465279D64E}" name="Cash5" dataDxfId="1856" dataCellStyle="Comma"/>
    <tableColumn id="7" xr3:uid="{9B523121-22D5-7D4C-9773-B20E7E733C34}" name="Cash6" dataDxfId="1855" dataCellStyle="Comma"/>
    <tableColumn id="8" xr3:uid="{99749C28-89C2-3D49-97C2-E4C4640DF6DA}" name="Cash7" dataDxfId="1854" dataCellStyle="Comma"/>
    <tableColumn id="9" xr3:uid="{5111F612-3907-904E-986D-8892DD33995C}" name="Cash8" dataDxfId="1853" dataCellStyle="Comma"/>
    <tableColumn id="10" xr3:uid="{E08E9B9D-14BA-5440-95B0-D4AFDB52F61F}" name="Cash9" dataDxfId="1852" dataCellStyle="Comma"/>
    <tableColumn id="11" xr3:uid="{D271A389-E25F-104D-9413-0FD54B41EEAE}" name="Cash10" dataDxfId="1851" dataCellStyle="Comma"/>
    <tableColumn id="12" xr3:uid="{3B4A241E-9074-734F-915D-7726D458DCAF}" name="Cash11" dataDxfId="1850" dataCellStyle="Comma"/>
    <tableColumn id="13" xr3:uid="{E8D8F957-8CFE-914E-B859-B221C47E58B2}" name="Cash12" dataDxfId="1849" dataCellStyle="Comma"/>
    <tableColumn id="14" xr3:uid="{113831A1-CC99-3B42-B8F5-AFEB1DC22D33}" name="Cash13" dataDxfId="1848" dataCellStyle="Comma"/>
    <tableColumn id="15" xr3:uid="{0E765A96-5FE3-4C4B-82B8-8B3F51B4536C}" name="Cash14" dataDxfId="1847" dataCellStyle="Comma"/>
    <tableColumn id="16" xr3:uid="{F2C78A88-D1BC-014E-8114-18527AC2CB5B}" name="Cash15" dataDxfId="1846" dataCellStyle="Comma"/>
    <tableColumn id="17" xr3:uid="{D2964560-F4EE-6344-A6DE-47921DE660C0}" name="Cash16" dataDxfId="1845" dataCellStyle="Comma"/>
    <tableColumn id="18" xr3:uid="{4FD8EDF7-D5A7-1440-B477-3FF6B70BEDD0}" name="Cash17" dataDxfId="1844" dataCellStyle="Comma"/>
    <tableColumn id="19" xr3:uid="{3649DE1E-D435-714F-BB19-EF3402C6AF22}" name="Cash18" dataDxfId="1843" dataCellStyle="Comma"/>
    <tableColumn id="20" xr3:uid="{701D1C02-DFD0-784A-9F28-745E11161D7E}" name="Cash19" dataDxfId="1842" dataCellStyle="Comma"/>
    <tableColumn id="21" xr3:uid="{0C684961-AF54-3648-8593-3FE8563E6C51}" name="Cash20" dataDxfId="1841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40" dataDxfId="1839" tableBorderDxfId="1838" dataCellStyle="Comma">
  <autoFilter ref="AB1192:AV1285" xr:uid="{0A5A3FC2-1860-534B-8DD0-10BDA217BDFE}"/>
  <tableColumns count="21">
    <tableColumn id="1" xr3:uid="{B7BE4C83-4F89-A148-9BFD-EF937D226141}" name="RevSale0" dataDxfId="1837" dataCellStyle="Comma"/>
    <tableColumn id="2" xr3:uid="{D9B00968-AB75-D341-95A0-B5E0538F519B}" name="RevSale1" dataDxfId="1836" dataCellStyle="Comma"/>
    <tableColumn id="3" xr3:uid="{848EC437-A5F6-CD42-94EE-ADC9AE69EB25}" name="RevSale2" dataDxfId="1835" dataCellStyle="Comma"/>
    <tableColumn id="4" xr3:uid="{1B494BF3-2E0F-8F4A-9955-142385E1F8BD}" name="RevSale3" dataDxfId="1834" dataCellStyle="Comma"/>
    <tableColumn id="5" xr3:uid="{48A95940-B649-F245-BDFB-40FD49B4EEA9}" name="RevSale4" dataDxfId="1833" dataCellStyle="Comma"/>
    <tableColumn id="6" xr3:uid="{F29C926F-5AD5-DB46-A4C8-38488FC88563}" name="RevSale5" dataDxfId="1832" dataCellStyle="Comma"/>
    <tableColumn id="7" xr3:uid="{40881A88-B6CC-1748-AE84-DBBF15CDD664}" name="RevSale6" dataDxfId="1831" dataCellStyle="Comma"/>
    <tableColumn id="8" xr3:uid="{06780BEA-27AA-E74D-A331-9525B9D24152}" name="RevSale7" dataDxfId="1830" dataCellStyle="Comma"/>
    <tableColumn id="9" xr3:uid="{0900939F-F515-6C46-888D-909EDE9F09FB}" name="RevSale8" dataDxfId="1829" dataCellStyle="Comma"/>
    <tableColumn id="10" xr3:uid="{0DE3B22B-7FDD-5F47-B41E-5678A133FE87}" name="RevSale9" dataDxfId="1828" dataCellStyle="Comma"/>
    <tableColumn id="11" xr3:uid="{F662376C-7504-8046-9CD8-038237C565B0}" name="RevSale10" dataDxfId="1827" dataCellStyle="Comma"/>
    <tableColumn id="12" xr3:uid="{007BA40B-4C88-4243-B8BD-C61A273884FA}" name="RevSale11" dataDxfId="1826" dataCellStyle="Comma"/>
    <tableColumn id="13" xr3:uid="{9000EAA8-2766-DC4D-8C59-5A2A0FF49296}" name="RevSale12" dataDxfId="1825" dataCellStyle="Comma"/>
    <tableColumn id="14" xr3:uid="{6FC4A1EC-D5E3-3A4E-8294-EC201288D435}" name="RevSale13" dataDxfId="1824" dataCellStyle="Comma"/>
    <tableColumn id="15" xr3:uid="{43639010-CC3B-D243-B85E-C1E15232EBDC}" name="RevSale14" dataDxfId="1823" dataCellStyle="Comma"/>
    <tableColumn id="16" xr3:uid="{61BFA615-44B6-9D4C-B74F-B6FFE6E04A2D}" name="RevSale15" dataDxfId="1822" dataCellStyle="Comma"/>
    <tableColumn id="17" xr3:uid="{D569100A-7B22-4E4A-970A-85E3A0A201C1}" name="RevSale16" dataDxfId="1821" dataCellStyle="Comma"/>
    <tableColumn id="18" xr3:uid="{06F7FE50-0662-3A4D-9EE3-8DB9F5D70BFF}" name="RevSale17" dataDxfId="1820" dataCellStyle="Comma"/>
    <tableColumn id="19" xr3:uid="{15DF4D6C-5238-9246-BC08-243E825E1949}" name="RevSale18" dataDxfId="1819" dataCellStyle="Comma"/>
    <tableColumn id="20" xr3:uid="{49CC288D-DED6-E54C-AE81-4FB2F509C2FB}" name="RevSale19" dataDxfId="1818" dataCellStyle="Comma"/>
    <tableColumn id="21" xr3:uid="{106C00F1-2979-8B4B-BB61-4D1DF0F6F9E0}" name="RevSale20" dataDxfId="1817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6" dataDxfId="1815" tableBorderDxfId="1814" dataCellStyle="Comma">
  <autoFilter ref="AB1291:AV1384" xr:uid="{029B3B90-231D-984A-8913-4BD26833EE55}"/>
  <tableColumns count="21">
    <tableColumn id="1" xr3:uid="{6A48BBC4-9F8C-E241-ABF9-8B082D07A915}" name="RevBuy0" dataDxfId="1813" dataCellStyle="Comma"/>
    <tableColumn id="2" xr3:uid="{3DC22D7D-8F33-224B-9FD3-A02E0E52A654}" name="RevBuy1" dataDxfId="1812" dataCellStyle="Comma"/>
    <tableColumn id="3" xr3:uid="{BFA86469-714F-604A-83B7-ADBDA419AAAC}" name="RevBuy2" dataDxfId="1811" dataCellStyle="Comma"/>
    <tableColumn id="4" xr3:uid="{BD5D4CEC-DFA9-A645-B64D-5478236122ED}" name="RevBuy3" dataDxfId="1810" dataCellStyle="Comma"/>
    <tableColumn id="5" xr3:uid="{FEEEA6B5-12EE-CA49-BC91-E9808CF75D06}" name="RevBuy4" dataDxfId="1809" dataCellStyle="Comma"/>
    <tableColumn id="6" xr3:uid="{8DDFBBE0-AB23-7641-A24A-F97BF48C35AC}" name="RevBuy5" dataDxfId="1808" dataCellStyle="Comma"/>
    <tableColumn id="7" xr3:uid="{9AAFF624-6153-C640-9CA1-6E9EAE0C62E6}" name="RevBuy6" dataDxfId="1807" dataCellStyle="Comma"/>
    <tableColumn id="8" xr3:uid="{3CE951EB-53B3-1244-B40C-ACD7AE718ADE}" name="RevBuy7" dataDxfId="1806" dataCellStyle="Comma"/>
    <tableColumn id="9" xr3:uid="{0F49B9D0-426D-C34B-8BC8-3409AFDA4ABC}" name="RevBuy8" dataDxfId="1805" dataCellStyle="Comma"/>
    <tableColumn id="10" xr3:uid="{9A0FBB4F-5D77-2B4B-99E0-824364A5297D}" name="RevBuy9" dataDxfId="1804" dataCellStyle="Comma"/>
    <tableColumn id="11" xr3:uid="{A6DFA062-72DB-994D-B9D4-26B6405DD395}" name="RevBuy10" dataDxfId="1803" dataCellStyle="Comma"/>
    <tableColumn id="12" xr3:uid="{7393EDBB-4FCA-B149-8058-EB9D09947DDE}" name="RevBuy11" dataDxfId="1802" dataCellStyle="Comma"/>
    <tableColumn id="13" xr3:uid="{0E6A4A32-6A6F-174A-95B9-58836CFD2CB3}" name="RevBuy12" dataDxfId="1801" dataCellStyle="Comma"/>
    <tableColumn id="14" xr3:uid="{2CF43023-9A75-C748-985A-9E29BD626892}" name="RevBuy13" dataDxfId="1800" dataCellStyle="Comma"/>
    <tableColumn id="15" xr3:uid="{4E36864A-377C-3A48-BC00-50578A6E506F}" name="RevBuy14" dataDxfId="1799" dataCellStyle="Comma"/>
    <tableColumn id="16" xr3:uid="{DB1CD117-EFF8-1840-99D4-2D16851999F1}" name="RevBuy15" dataDxfId="1798" dataCellStyle="Comma"/>
    <tableColumn id="17" xr3:uid="{42B2D85B-B956-8E40-9443-86D19B1A05D9}" name="RevBuy16" dataDxfId="1797" dataCellStyle="Comma"/>
    <tableColumn id="18" xr3:uid="{512DE7CC-E954-994C-A03A-4ABBD8962618}" name="RevBuy17" dataDxfId="1796" dataCellStyle="Comma"/>
    <tableColumn id="19" xr3:uid="{695A19CA-5D3E-ED4B-97F1-6D391036EF05}" name="RevBuy18" dataDxfId="1795" dataCellStyle="Comma"/>
    <tableColumn id="20" xr3:uid="{B2119E64-AACB-A14C-9559-514A472B4B21}" name="RevBuy19" dataDxfId="1794" dataCellStyle="Comma"/>
    <tableColumn id="21" xr3:uid="{2163EE0E-D715-DF4A-AEE0-8201AC51B898}" name="RevBuy20" dataDxfId="1793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2" dataDxfId="1791" tableBorderDxfId="1790" dataCellStyle="Comma">
  <autoFilter ref="AB1390:AV1483" xr:uid="{A862798D-1A6F-4F4B-9D3C-CC5F9499011B}"/>
  <tableColumns count="21">
    <tableColumn id="1" xr3:uid="{3AC0D457-1D0C-7F49-A40F-0DE88B6B346F}" name="ExtraV0" totalsRowLabel="Total" dataDxfId="1789" totalsRowDxfId="698" dataCellStyle="Comma"/>
    <tableColumn id="2" xr3:uid="{BBA9E372-2827-524A-8766-E691E6346A00}" name="ExtraV1" dataDxfId="1788" totalsRowDxfId="697" dataCellStyle="Comma"/>
    <tableColumn id="3" xr3:uid="{86FFF09D-F252-5D4A-B7AE-018C7F417359}" name="ExtraV2" dataDxfId="1787" totalsRowDxfId="696" dataCellStyle="Comma"/>
    <tableColumn id="4" xr3:uid="{EC3B54C3-0BA1-454F-B2AE-A9D80F740098}" name="ExtraV3" dataDxfId="1786" totalsRowDxfId="695" dataCellStyle="Comma"/>
    <tableColumn id="5" xr3:uid="{D993D839-87B0-0E40-8C6F-15665A8E8072}" name="ExtraV4" dataDxfId="1785" totalsRowDxfId="694" dataCellStyle="Comma"/>
    <tableColumn id="6" xr3:uid="{1BFB46B7-C176-504F-8EBB-26171A3D0521}" name="ExtraV5" dataDxfId="1784" totalsRowDxfId="693" dataCellStyle="Comma"/>
    <tableColumn id="7" xr3:uid="{2B054E70-6A65-2841-B5D4-1D5AA57C8782}" name="ExtraV6" dataDxfId="1783" totalsRowDxfId="692" dataCellStyle="Comma"/>
    <tableColumn id="8" xr3:uid="{68325155-E45A-FC4D-97C1-76858716F55F}" name="ExtraV7" dataDxfId="1782" totalsRowDxfId="691" dataCellStyle="Comma"/>
    <tableColumn id="9" xr3:uid="{C54B2B53-F7FD-7A49-BDA6-04D9B4EF7741}" name="ExtraV8" dataDxfId="1781" totalsRowDxfId="690" dataCellStyle="Comma"/>
    <tableColumn id="10" xr3:uid="{6B6BA1C0-34D2-A141-93A2-236370689F5C}" name="ExtraV9" dataDxfId="1780" totalsRowDxfId="689" dataCellStyle="Comma"/>
    <tableColumn id="11" xr3:uid="{05AD6B97-9023-594F-8540-CDDA816224C7}" name="ExtraV10" dataDxfId="1779" totalsRowDxfId="688" dataCellStyle="Comma"/>
    <tableColumn id="12" xr3:uid="{AE2DB8DB-D042-3345-AE75-DF958B831776}" name="ExtraV11" dataDxfId="1778" totalsRowDxfId="687" dataCellStyle="Comma"/>
    <tableColumn id="13" xr3:uid="{DB617589-A099-C643-8929-3D2CA9AFC0F5}" name="ExtraV12" dataDxfId="1777" totalsRowDxfId="686" dataCellStyle="Comma"/>
    <tableColumn id="14" xr3:uid="{CD892BF4-9983-4847-9C5F-D9B2BB0D5F2D}" name="ExtraV13" dataDxfId="1776" totalsRowDxfId="685" dataCellStyle="Comma"/>
    <tableColumn id="15" xr3:uid="{8E18B52E-0B40-1F43-8E69-05D5D9F2074B}" name="ExtraV14" dataDxfId="1775" totalsRowDxfId="684" dataCellStyle="Comma"/>
    <tableColumn id="16" xr3:uid="{077DD0B2-C59F-8E48-9793-B86BF53B2326}" name="ExtraV15" dataDxfId="1774" totalsRowDxfId="683" dataCellStyle="Comma"/>
    <tableColumn id="17" xr3:uid="{FA7FEF7D-BB41-C94D-AD7E-65D253D5E0B2}" name="ExtraV16" dataDxfId="1773" totalsRowDxfId="682" dataCellStyle="Comma"/>
    <tableColumn id="18" xr3:uid="{DE9E75AC-9C77-CB44-9498-19B521B8BE07}" name="ExtraV17" dataDxfId="1772" totalsRowDxfId="681" dataCellStyle="Comma"/>
    <tableColumn id="19" xr3:uid="{2FEDB87D-6676-E142-B6C6-4C01E32E4F0A}" name="ExtraV18" dataDxfId="1771" totalsRowDxfId="680" dataCellStyle="Comma"/>
    <tableColumn id="20" xr3:uid="{2FCA0075-35A7-1B40-8488-C039CCE16E9D}" name="ExtraV19" dataDxfId="1770" totalsRowDxfId="679" dataCellStyle="Comma"/>
    <tableColumn id="21" xr3:uid="{8B815B8D-74CB-1A4D-B00D-1F6DAD74FC4B}" name="ExtraV20" totalsRowFunction="sum" dataDxfId="1769" totalsRowDxfId="678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68" dataDxfId="1767" tableBorderDxfId="1766" dataCellStyle="Percent">
  <autoFilter ref="AB1490:AV1583" xr:uid="{0F744D99-CBDB-A840-B675-EB13CC0AC422}"/>
  <tableColumns count="21">
    <tableColumn id="1" xr3:uid="{E1EC9148-EB38-344A-9ECF-E8F28A8A49A8}" name="Rev_GL0" dataDxfId="1765" dataCellStyle="Percent"/>
    <tableColumn id="2" xr3:uid="{4187F546-585D-D945-A89B-784CBB16D86B}" name="Rev_GL1" dataDxfId="1764" dataCellStyle="Percent"/>
    <tableColumn id="3" xr3:uid="{952B18A9-1809-FD4A-A0D4-0B8C6B10222D}" name="Rev_GL2" dataDxfId="1763" dataCellStyle="Percent"/>
    <tableColumn id="4" xr3:uid="{454132EA-52DC-4B46-84C9-F8C1817AAA8B}" name="Rev_GL3" dataDxfId="1762" dataCellStyle="Percent"/>
    <tableColumn id="5" xr3:uid="{46042E51-AD37-D64B-9F54-0AECB1CF208E}" name="Rev_GL4" dataDxfId="1761" dataCellStyle="Percent"/>
    <tableColumn id="6" xr3:uid="{88F9D56A-B70E-5F42-94D8-D65259D09AB6}" name="Rev_GL5" dataDxfId="1760" dataCellStyle="Percent"/>
    <tableColumn id="7" xr3:uid="{E66AADF7-66BC-6945-B6C8-8DE9B67D7D8C}" name="Rev_GL6" dataDxfId="1759" dataCellStyle="Percent"/>
    <tableColumn id="8" xr3:uid="{37DCCF9B-EF3C-2E46-A599-23C1C4979010}" name="Rev_GL7" dataDxfId="1758" dataCellStyle="Percent"/>
    <tableColumn id="9" xr3:uid="{E3EC2144-FCFD-4A4A-9A90-DBEB5288EF9F}" name="Rev_GL8" dataDxfId="1757" dataCellStyle="Percent"/>
    <tableColumn id="10" xr3:uid="{F8204BC8-8C71-AC4D-94AB-07EF311BCDB1}" name="Rev_GL9" dataDxfId="1756" dataCellStyle="Percent"/>
    <tableColumn id="11" xr3:uid="{9BC9C872-1F07-7B4D-9217-6A0B6AF47865}" name="Rev_GL10" dataDxfId="1755" dataCellStyle="Percent"/>
    <tableColumn id="12" xr3:uid="{120827D9-3318-D744-9216-DC27D3CF5968}" name="Rev_GL11" dataDxfId="1754" dataCellStyle="Percent"/>
    <tableColumn id="13" xr3:uid="{5D3F0E9B-693A-E944-918D-50F58C26C2C4}" name="Rev_GL12" dataDxfId="1753" dataCellStyle="Percent"/>
    <tableColumn id="14" xr3:uid="{17E4A056-EF9A-6746-8B3A-898BFDD6A696}" name="Rev_GL13" dataDxfId="1752" dataCellStyle="Percent"/>
    <tableColumn id="15" xr3:uid="{FFEBDC05-8049-534C-A5B3-7EBE90032BE1}" name="Rev_GL14" dataDxfId="1751" dataCellStyle="Percent"/>
    <tableColumn id="16" xr3:uid="{0A197748-CDC1-C64A-AE17-D22E200567DB}" name="Rev_GL15" dataDxfId="1750" dataCellStyle="Percent"/>
    <tableColumn id="17" xr3:uid="{42E0E5EF-910E-5F4E-9CF1-9CFAEC4C8700}" name="Rev_GL16" dataDxfId="1749" dataCellStyle="Percent"/>
    <tableColumn id="18" xr3:uid="{8B111263-3695-3044-B75D-C98410149243}" name="Rev_GL17" dataDxfId="1748" dataCellStyle="Percent"/>
    <tableColumn id="19" xr3:uid="{C3255BF8-7FCD-D64A-97FB-553379A81A55}" name="Rev_GL18" dataDxfId="1747" dataCellStyle="Percent"/>
    <tableColumn id="20" xr3:uid="{7A6EE87E-0D4C-D14A-B440-FBF691F1A8D2}" name="Rev_GL19" dataDxfId="1746" dataCellStyle="Percent"/>
    <tableColumn id="21" xr3:uid="{2E0D70B8-5AC9-9044-8C37-930BC7209F87}" name="Rev_GL20" dataDxfId="1745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44" dataDxfId="1743" tableBorderDxfId="1742" dataCellStyle="Percent">
  <autoFilter ref="F1291:Z1384" xr:uid="{AF2A9EC8-851C-1C46-8C70-3CD3F3C868AC}"/>
  <tableColumns count="21">
    <tableColumn id="1" xr3:uid="{CA2857FA-1FC2-104D-B66E-371CA24537CD}" name="Naft0" dataDxfId="1741" dataCellStyle="Percent"/>
    <tableColumn id="2" xr3:uid="{8C525679-2502-FF45-B2B9-12506AA3F644}" name="Naft1" dataDxfId="1740" dataCellStyle="Percent"/>
    <tableColumn id="3" xr3:uid="{AD993A4C-A7F1-E342-9EC4-C90192C82B31}" name="Naft2" dataDxfId="1739" dataCellStyle="Percent"/>
    <tableColumn id="4" xr3:uid="{40B8B76F-5171-D54D-BF06-A4AC21350B3B}" name="Naft3" dataDxfId="1738" dataCellStyle="Percent"/>
    <tableColumn id="5" xr3:uid="{762033C0-4281-1746-84F3-542BF017FA4B}" name="Naft4" dataDxfId="1737" dataCellStyle="Percent"/>
    <tableColumn id="6" xr3:uid="{FAFE4B64-0CB1-994E-8F05-C5E44C8DDB03}" name="Naft5" dataDxfId="1736" dataCellStyle="Percent"/>
    <tableColumn id="7" xr3:uid="{AF0D904D-7647-BB48-8D6E-B302E22C3C1C}" name="Naft6" dataDxfId="1735" dataCellStyle="Percent"/>
    <tableColumn id="8" xr3:uid="{CF096B0E-2F7F-924E-BA91-4DC10C6E3ED9}" name="Naft7" dataDxfId="1734" dataCellStyle="Percent"/>
    <tableColumn id="9" xr3:uid="{C3C4E1F9-90C6-9646-BC1A-573E5493DC64}" name="Naft8" dataDxfId="1733" dataCellStyle="Percent"/>
    <tableColumn id="10" xr3:uid="{8A89D7FB-45BB-7642-A43A-239F682092E7}" name="Naft9" dataDxfId="1732" dataCellStyle="Percent"/>
    <tableColumn id="11" xr3:uid="{6CB557D2-EFB9-2E40-ADFE-F1D06A55A2C1}" name="Naft10" dataDxfId="1731" dataCellStyle="Percent"/>
    <tableColumn id="12" xr3:uid="{D7F02D6C-BB3C-D747-B902-F6B6DDD59B57}" name="Naft11" dataDxfId="1730" dataCellStyle="Percent"/>
    <tableColumn id="13" xr3:uid="{FD8D6943-9FA6-EA49-BBD9-F5E3DDB53BE7}" name="Naft12" dataDxfId="1729" dataCellStyle="Percent"/>
    <tableColumn id="14" xr3:uid="{2393C95D-1173-E448-837B-713DEFB9753C}" name="Naft13" dataDxfId="1728" dataCellStyle="Percent"/>
    <tableColumn id="15" xr3:uid="{E4C43FA3-A3C8-D340-985B-1BEA174F8B98}" name="Naft14" dataDxfId="1727" dataCellStyle="Percent"/>
    <tableColumn id="16" xr3:uid="{5F4E9827-A41F-8D4B-B649-51F74733E28D}" name="Naft15" dataDxfId="1726" dataCellStyle="Percent"/>
    <tableColumn id="17" xr3:uid="{DC3B667D-F4B9-8648-ACF1-C0371C364AA1}" name="Naft16" dataDxfId="1725" dataCellStyle="Percent"/>
    <tableColumn id="18" xr3:uid="{3E4D8A11-1F61-DE42-9951-C0BA46393626}" name="Naft17" dataDxfId="1724" dataCellStyle="Percent"/>
    <tableColumn id="19" xr3:uid="{50825E73-0383-E743-BD57-1CC0EAEE123B}" name="Naft18" dataDxfId="1723" dataCellStyle="Percent"/>
    <tableColumn id="20" xr3:uid="{BF93579D-889E-5B4A-A245-055F31FD5F5F}" name="Naft19" dataDxfId="1722" dataCellStyle="Percent"/>
    <tableColumn id="21" xr3:uid="{1A3DDD58-5298-C144-A846-CB3FD97B6F3B}" name="Naft20" dataDxfId="1721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20" dataDxfId="1719" tableBorderDxfId="1718">
  <autoFilter ref="F1390:Z1483" xr:uid="{F6EF671C-15EB-6340-A931-CD19935BD39E}"/>
  <tableColumns count="21">
    <tableColumn id="1" xr3:uid="{3937D0B6-0B63-584B-8662-4CF442418B39}" name="Free2_0" dataDxfId="1717"/>
    <tableColumn id="2" xr3:uid="{297E75E7-30A8-614A-BC6B-7EDF8EA51692}" name="Free2_1" dataDxfId="1716"/>
    <tableColumn id="3" xr3:uid="{7F7BAB67-5081-FE41-B799-765A7833B5F6}" name="Free2_2" dataDxfId="1715"/>
    <tableColumn id="4" xr3:uid="{700C6907-FB66-B04F-81CB-5569C38B311E}" name="Free2_3" dataDxfId="1714"/>
    <tableColumn id="5" xr3:uid="{E20B3C31-90B8-D44C-9ECA-BC79BF5194CC}" name="Free2_4" dataDxfId="1713"/>
    <tableColumn id="6" xr3:uid="{27ADA4AC-F4C1-944D-8D1E-59B6112D7B6E}" name="Free2_5" dataDxfId="1712"/>
    <tableColumn id="7" xr3:uid="{97FCEADF-673E-2044-B069-C5D83CC6CD02}" name="Free2_6" dataDxfId="1711"/>
    <tableColumn id="8" xr3:uid="{2DAEB5D8-A75B-6345-B212-BABEC279EF4F}" name="Free2_7" dataDxfId="1710"/>
    <tableColumn id="9" xr3:uid="{D048A8D0-4C56-164A-B9F6-25853F5C87FB}" name="Free2_8" dataDxfId="1709"/>
    <tableColumn id="10" xr3:uid="{1B9502C7-37BD-1F47-9E14-6E91E86574DE}" name="Free2_9" dataDxfId="1708"/>
    <tableColumn id="11" xr3:uid="{9B6DF665-04C4-7649-852D-B0E5327053BC}" name="Free2_10" dataDxfId="1707"/>
    <tableColumn id="12" xr3:uid="{ABA824BF-6AB3-F848-89AE-8ACE9C246B08}" name="Free2_11" dataDxfId="1706"/>
    <tableColumn id="13" xr3:uid="{BE8860B0-2B51-9346-9587-0367E9E40239}" name="Free2_12" dataDxfId="1705"/>
    <tableColumn id="14" xr3:uid="{3BEA1E54-18D2-6740-93C2-7BD649B58A23}" name="Free2_13" dataDxfId="1704"/>
    <tableColumn id="15" xr3:uid="{79159609-704E-8146-B86F-5E75085DE96C}" name="Free2_14" dataDxfId="1703"/>
    <tableColumn id="16" xr3:uid="{E8E7FE0B-CAFC-A648-A958-2ACB64144D08}" name="Free2_15" dataDxfId="1702"/>
    <tableColumn id="17" xr3:uid="{D33B5289-1DC5-5447-8C39-5A33CEF0329C}" name="Free2_16" dataDxfId="1701"/>
    <tableColumn id="18" xr3:uid="{A4005841-AE7D-4E45-B5E4-DCCB8C0DAF66}" name="Free2_17" dataDxfId="1700"/>
    <tableColumn id="19" xr3:uid="{BF68ED05-57C6-CF48-97AC-E91CD45EE53C}" name="Free2_18" dataDxfId="1699"/>
    <tableColumn id="20" xr3:uid="{E9FBBC2B-85F5-8242-86CF-10EB4C79D58D}" name="Free2_19" dataDxfId="1698"/>
    <tableColumn id="21" xr3:uid="{29DD2BEB-9881-8043-9502-DA3DA8E0EC3C}" name="Free2_20" dataDxfId="1697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96" dataDxfId="1695" tableBorderDxfId="1694" dataCellStyle="Comma">
  <autoFilter ref="AB400:AV493" xr:uid="{A5A966C8-A895-2142-9D9C-4A177559753C}"/>
  <tableColumns count="21">
    <tableColumn id="1" xr3:uid="{086170E0-912A-0046-8C70-71421FDB86CB}" name="Saldo_Change0" dataDxfId="1693" dataCellStyle="Comma"/>
    <tableColumn id="2" xr3:uid="{C47EE9E0-CEB9-744E-A9B1-030E5081996F}" name="Saldo_Change1" dataDxfId="1692" dataCellStyle="Comma"/>
    <tableColumn id="3" xr3:uid="{0374466B-D15D-8849-BFAB-F2C39763E33E}" name="Saldo_Change2" dataDxfId="1691" dataCellStyle="Comma"/>
    <tableColumn id="4" xr3:uid="{3DC4E1AB-5240-2B47-95A1-A9FED5CB7931}" name="Saldo_Change3" dataDxfId="1690" dataCellStyle="Comma"/>
    <tableColumn id="5" xr3:uid="{AD8D194A-067C-D54B-B1FC-6AA332CE1097}" name="Saldo_Change4" dataDxfId="1689" dataCellStyle="Comma"/>
    <tableColumn id="6" xr3:uid="{B5DAB107-F4BA-3846-B1DF-1BB15544E5EB}" name="Saldo_Change5" dataDxfId="1688" dataCellStyle="Comma"/>
    <tableColumn id="7" xr3:uid="{FC981E9A-3BB2-EC42-9BD0-4739A49F449B}" name="Saldo_Change6" dataDxfId="1687" dataCellStyle="Comma"/>
    <tableColumn id="8" xr3:uid="{0D786F90-14A9-EC46-B54E-55D2023B3BAB}" name="Saldo_Change7" dataDxfId="1686" dataCellStyle="Comma"/>
    <tableColumn id="9" xr3:uid="{640827C4-D151-714F-9431-310E739241DB}" name="Saldo_Change8" dataDxfId="1685" dataCellStyle="Comma"/>
    <tableColumn id="10" xr3:uid="{883C6F42-8C48-8A47-A661-A9DC638F12F2}" name="Saldo_Change9" dataDxfId="1684" dataCellStyle="Comma"/>
    <tableColumn id="11" xr3:uid="{CEF2A3F7-C727-D942-BBAD-594BB418F823}" name="Saldo_Change10" dataDxfId="1683" dataCellStyle="Comma"/>
    <tableColumn id="12" xr3:uid="{A3DB2142-E94A-AD4D-9220-463878802587}" name="Saldo_Change11" dataDxfId="1682" dataCellStyle="Comma"/>
    <tableColumn id="13" xr3:uid="{1FFAEF3D-A638-0843-889A-A25ABD8D4445}" name="Saldo_Change12" dataDxfId="1681" dataCellStyle="Comma"/>
    <tableColumn id="14" xr3:uid="{66353A91-21E4-6345-9E5E-23B2AA7D6228}" name="Saldo_Change13" dataDxfId="1680" dataCellStyle="Comma"/>
    <tableColumn id="15" xr3:uid="{4FA84C89-1A8F-284D-9C13-78D90BBF6266}" name="Saldo_Change14" dataDxfId="1679" dataCellStyle="Comma"/>
    <tableColumn id="16" xr3:uid="{AEB3F103-A250-9D40-91AE-588B1AF73D28}" name="Saldo_Change15" dataDxfId="1678" dataCellStyle="Comma"/>
    <tableColumn id="17" xr3:uid="{89C20C78-7E59-C74D-AF29-1A8CCB46B1D9}" name="Saldo_Change16" dataDxfId="1677" dataCellStyle="Comma"/>
    <tableColumn id="18" xr3:uid="{44BE309E-DDA6-0F4A-98BD-B8D4F08F3A35}" name="Saldo_Change17" dataDxfId="1676" dataCellStyle="Comma"/>
    <tableColumn id="19" xr3:uid="{F644A9A2-2953-9D41-B057-FC93AC10643A}" name="Saldo_Change18" dataDxfId="1675" dataCellStyle="Comma"/>
    <tableColumn id="20" xr3:uid="{913F3E58-BEA0-7047-9081-6EE33487BB80}" name="Saldo_Change19" dataDxfId="1674" dataCellStyle="Comma"/>
    <tableColumn id="21" xr3:uid="{AF453376-8DDF-764F-B09C-84B72B80BF75}" name="Saldo_Change20" dataDxfId="1673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72"/>
    <tableColumn id="2" xr3:uid="{C0145B90-171D-F843-922B-5308D656256B}" name="Summary1" dataDxfId="1671"/>
    <tableColumn id="3" xr3:uid="{13B89441-86AC-2245-A728-E49F31DB3D6A}" name="Summary2" dataDxfId="1670"/>
    <tableColumn id="4" xr3:uid="{1B918288-DC53-904B-AB84-4C90F09BE4EC}" name="Summary3" dataDxfId="1669"/>
    <tableColumn id="5" xr3:uid="{48DD1F16-0C12-8349-8732-19827F0EAE9F}" name="Summary4" dataDxfId="1668"/>
    <tableColumn id="6" xr3:uid="{D4E4DABC-EA23-ED49-81B2-4BFF2A0772F9}" name="Summary5" dataDxfId="1667"/>
    <tableColumn id="7" xr3:uid="{4C49F7EE-3ECF-174B-A361-EC8BFAA95624}" name="Summary6" dataDxfId="1666" totalsRowDxfId="677" dataCellStyle="Percent"/>
    <tableColumn id="8" xr3:uid="{816A286C-4A21-3144-93B8-B400778D576A}" name="Summary7" dataDxfId="1665" totalsRowDxfId="676"/>
    <tableColumn id="9" xr3:uid="{59E1500E-A932-4840-BA3E-5B3025BB1454}" name="Summary8" dataDxfId="1664"/>
    <tableColumn id="10" xr3:uid="{F96B4C1B-365D-1741-B72A-531258FFE2BC}" name="Summary9" dataDxfId="1663" totalsRowDxfId="675"/>
    <tableColumn id="11" xr3:uid="{77C9D1FE-F025-D54B-8787-3FC4E59E56AD}" name="Summary10" dataDxfId="1662" totalsRowDxfId="674"/>
    <tableColumn id="12" xr3:uid="{47411572-1EC6-254C-9838-49A66022B7E4}" name="Summary11" dataDxfId="1661"/>
    <tableColumn id="13" xr3:uid="{60CF3707-8850-F148-BBF5-A0EE9B808735}" name="Summary12" dataDxfId="1660" totalsRowDxfId="673" dataCellStyle="Comma"/>
    <tableColumn id="14" xr3:uid="{3A0F36B9-4B29-0A4C-A448-D9CF99B8C62F}" name="Summary13" dataDxfId="1659"/>
    <tableColumn id="15" xr3:uid="{C63BF0B5-FDDE-D043-A434-8FF7E3AE8994}" name="Summary14" dataDxfId="1658"/>
    <tableColumn id="16" xr3:uid="{07929D4C-E2BA-E64A-AA43-4BF7D1D5E3A2}" name="Summary15" dataDxfId="1657"/>
    <tableColumn id="17" xr3:uid="{A2E5D0AD-33EE-F140-9570-FEF3580B722F}" name="Summary16" dataDxfId="1656"/>
    <tableColumn id="18" xr3:uid="{379DD2CB-9A5C-D142-A1F0-8F2739E2CFA8}" name="Summary17" dataDxfId="1655" totalsRowDxfId="672" dataCellStyle="Percent"/>
    <tableColumn id="19" xr3:uid="{268245B6-FCB0-084E-A766-46A83AED1DB3}" name="Summary18" dataDxfId="1654" totalsRowDxfId="671" dataCellStyle="Comma"/>
    <tableColumn id="20" xr3:uid="{861CA8D0-B5BD-6F48-80D5-D373641A59B8}" name="Summary19" dataDxfId="1653"/>
    <tableColumn id="21" xr3:uid="{2D6D6470-C27B-9441-BFD7-B5A6B11B21EE}" name="Summary20" dataDxfId="165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51">
  <autoFilter ref="F1:Z2" xr:uid="{C9FBC990-8467-074E-831B-FE0990ADB274}"/>
  <tableColumns count="21">
    <tableColumn id="1" xr3:uid="{918DE5B1-DC0F-7142-A126-D86D11B1460A}" name="Date20" dataDxfId="1650"/>
    <tableColumn id="2" xr3:uid="{72A9348F-9FA1-4349-B57C-3414393F52FB}" name="Date19" dataDxfId="1649"/>
    <tableColumn id="3" xr3:uid="{136018FF-77F0-0141-9E74-D2D6556BCE0E}" name="Date18" dataDxfId="1648"/>
    <tableColumn id="4" xr3:uid="{D59F628A-030A-E144-8824-4CC37CE9F5F5}" name="Date17" dataDxfId="1647"/>
    <tableColumn id="5" xr3:uid="{90EF3067-BEAE-DC4C-BCD0-03E50DCF4973}" name="Date16" dataDxfId="1646"/>
    <tableColumn id="6" xr3:uid="{09987FE0-227C-544B-82EC-6F9E71C5E7D5}" name="Date15" dataDxfId="1645"/>
    <tableColumn id="7" xr3:uid="{DF3FEA4D-C304-C944-BFE6-19C1D2D05CCB}" name="Date14" dataDxfId="1644"/>
    <tableColumn id="8" xr3:uid="{44A62703-8DDE-E24D-8B9A-7833969A7270}" name="Date13" dataDxfId="1643"/>
    <tableColumn id="9" xr3:uid="{5ED7BA22-8BAA-0443-BF6A-FFFE913D3FA3}" name="Date12" dataDxfId="1642"/>
    <tableColumn id="10" xr3:uid="{AF4A7C0F-AC8D-FA45-9F4A-2CB9E68175A9}" name="Date11" dataDxfId="1641"/>
    <tableColumn id="11" xr3:uid="{9E23A52F-43BC-D14B-9152-A1B89A67CE5F}" name="Date10" dataDxfId="1640"/>
    <tableColumn id="12" xr3:uid="{C3B0914B-2D60-8A4E-AF9A-93DFF9A69707}" name="Date9" dataDxfId="1639"/>
    <tableColumn id="13" xr3:uid="{EB9F4BEE-DB3D-C849-86C7-E183DEFB030B}" name="Date8" dataDxfId="1638"/>
    <tableColumn id="14" xr3:uid="{8A60A615-3742-E643-B4A1-4CAC01FB74F8}" name="Date7" dataDxfId="1637"/>
    <tableColumn id="15" xr3:uid="{EAD3E6AA-F705-8541-A8B6-D5C501FC0B2C}" name="Date6" dataDxfId="1636"/>
    <tableColumn id="16" xr3:uid="{11F99B2C-9B18-6044-930E-0EA6EF062E9D}" name="Date5" dataDxfId="1635"/>
    <tableColumn id="17" xr3:uid="{5A3498EB-B29F-D44F-9E7B-46376E2A2851}" name="Date4" dataDxfId="1634"/>
    <tableColumn id="18" xr3:uid="{3E302A62-0B5E-A547-A651-EE0AEF46614F}" name="Date3" dataDxfId="1633"/>
    <tableColumn id="19" xr3:uid="{B6FEB911-E082-484F-8E60-EA9E0C3F777B}" name="Date2" dataDxfId="1632"/>
    <tableColumn id="20" xr3:uid="{67EACEDB-84B0-0E44-A236-90E7D7E05A88}" name="Date1" dataDxfId="1631"/>
    <tableColumn id="21" xr3:uid="{BC8F11AD-02FD-674F-B151-057D83EE74AA}" name="Date0" dataDxfId="1630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29" dataCellStyle="Percent">
  <autoFilter ref="F1489:Z1582" xr:uid="{BD0B59F9-75A4-6345-9840-A2E778B47C79}"/>
  <tableColumns count="21">
    <tableColumn id="1" xr3:uid="{3DEEB649-1545-504F-B74F-9FE969CBD76A}" name="MarkUp0" dataDxfId="1628" dataCellStyle="Percent"/>
    <tableColumn id="2" xr3:uid="{A6C89CFF-07F2-8B49-AAA7-95B57C6AEA42}" name="MarkUp1" dataDxfId="1627" dataCellStyle="Percent"/>
    <tableColumn id="3" xr3:uid="{80775B53-35F4-1742-A64B-DBC41620A5F8}" name="MarkUp2" dataDxfId="1626" dataCellStyle="Percent"/>
    <tableColumn id="4" xr3:uid="{789F2A95-FF0D-514F-A880-E9C55248174B}" name="MarkUp3" dataDxfId="1625" dataCellStyle="Percent"/>
    <tableColumn id="5" xr3:uid="{DB0D0239-7981-3C47-AD76-C782554E8AB8}" name="MarkUp4" dataDxfId="1624" dataCellStyle="Percent"/>
    <tableColumn id="6" xr3:uid="{544A8C51-585B-F848-8A7B-A1008FDFDF37}" name="MarkUp5" dataDxfId="1623" dataCellStyle="Percent"/>
    <tableColumn id="7" xr3:uid="{A575BF9D-8361-714D-B07E-8D0E262F5FBB}" name="MarkUp6" dataDxfId="1622" dataCellStyle="Percent"/>
    <tableColumn id="8" xr3:uid="{0B8D438E-DFEB-DA4D-8453-53E9B370F907}" name="MarkUp7" dataDxfId="1621" dataCellStyle="Percent"/>
    <tableColumn id="9" xr3:uid="{DA3BFA50-3B0C-844C-8D33-C1F303E0855D}" name="MarkUp8" dataDxfId="1620" dataCellStyle="Percent"/>
    <tableColumn id="10" xr3:uid="{8E2DFA05-ADCD-0240-B8AC-9A068217E1F3}" name="MarkUp9" dataDxfId="1619" dataCellStyle="Percent"/>
    <tableColumn id="11" xr3:uid="{1799051C-A221-0543-BE05-0E219A76BB16}" name="MarkUp10" dataDxfId="1618" dataCellStyle="Percent"/>
    <tableColumn id="12" xr3:uid="{98820823-ACB0-1F49-AA92-A32FD2BAD762}" name="MarkUp11" dataDxfId="1617" dataCellStyle="Percent"/>
    <tableColumn id="13" xr3:uid="{C19E583A-0D28-FB48-9A8A-B5A7CB5484A4}" name="MarkUp12" dataDxfId="1616" dataCellStyle="Percent"/>
    <tableColumn id="14" xr3:uid="{8059EBA1-5F47-CF46-84AB-5A12E88D8D2C}" name="MarkUp13" dataDxfId="1615" dataCellStyle="Percent"/>
    <tableColumn id="15" xr3:uid="{510C91B6-E50C-FC46-BFA2-6964EC87E14B}" name="MarkUp14" dataDxfId="1614" dataCellStyle="Percent"/>
    <tableColumn id="16" xr3:uid="{8C82C0B6-D9ED-CE4B-AED9-78058B4F22DA}" name="MarkUp15" dataDxfId="1613" dataCellStyle="Percent"/>
    <tableColumn id="17" xr3:uid="{1CC24814-7184-0C4B-A764-BAC31484FFD7}" name="MarkUp16" dataDxfId="1612" dataCellStyle="Percent"/>
    <tableColumn id="18" xr3:uid="{254EACA1-0431-EB47-9340-65308D62D404}" name="MarkUp17" dataDxfId="1611" dataCellStyle="Percent"/>
    <tableColumn id="19" xr3:uid="{B63624E4-0107-AE46-B98F-363678F4DBF5}" name="MarkUp18" dataDxfId="1610" dataCellStyle="Percent"/>
    <tableColumn id="20" xr3:uid="{096A92CA-4B2E-E442-A2EC-DE652EE21C06}" name="MarkUp19" dataDxfId="1609" dataCellStyle="Percent"/>
    <tableColumn id="21" xr3:uid="{92E1C85C-4F66-6340-BEBE-C53E1E837A88}" name="MarkUp20" dataDxfId="1608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07" dataCellStyle="Percent">
  <autoFilter ref="F1588:Z1681" xr:uid="{D5BEC7A6-EF60-3B46-B9E8-034B7BBF3E15}"/>
  <tableColumns count="21">
    <tableColumn id="1" xr3:uid="{2C2B2823-339F-4D4E-B506-4D9D2FD31170}" name="Sum**2_0" dataDxfId="1606" dataCellStyle="Percent"/>
    <tableColumn id="2" xr3:uid="{63B31B64-D53D-D148-A12E-0035DE733783}" name="Sum**2_1" dataDxfId="1605" dataCellStyle="Percent"/>
    <tableColumn id="3" xr3:uid="{AB7122E0-6AA1-2345-9984-477938E242DE}" name="Sum**2_2" dataDxfId="1604" dataCellStyle="Percent"/>
    <tableColumn id="4" xr3:uid="{C1F1B198-A6E5-6E4B-9EFE-3A79002AA194}" name="Sum**2_3" dataDxfId="1603" dataCellStyle="Percent"/>
    <tableColumn id="5" xr3:uid="{CD8ADFDF-0FAA-2F4B-A5BA-D3744B56DB65}" name="Sum**2_4" dataDxfId="1602" dataCellStyle="Percent"/>
    <tableColumn id="6" xr3:uid="{A773326D-FA9D-F645-8327-6BD976AF582F}" name="Sum**2_5" dataDxfId="1601" dataCellStyle="Percent"/>
    <tableColumn id="7" xr3:uid="{819DBD76-9239-DC4A-9670-B59537B37853}" name="Sum**2_6" dataDxfId="1600" dataCellStyle="Percent"/>
    <tableColumn id="8" xr3:uid="{9E873F49-2374-174D-9563-D76244E18328}" name="Sum**2_7" dataDxfId="1599" dataCellStyle="Percent"/>
    <tableColumn id="9" xr3:uid="{B103D527-25A1-D646-AD0A-2D6D80419144}" name="Sum**2_8" dataDxfId="1598" dataCellStyle="Percent"/>
    <tableColumn id="10" xr3:uid="{96CCA32E-3C73-7142-BF4C-C158F7B37810}" name="Sum**2_9" dataDxfId="1597" dataCellStyle="Percent"/>
    <tableColumn id="11" xr3:uid="{56B7687B-91AF-4445-A28F-2881C7A6A6CD}" name="Sum**2_10" dataDxfId="1596" dataCellStyle="Percent"/>
    <tableColumn id="12" xr3:uid="{DB2A6F66-3621-8846-9226-BC837F3A8607}" name="Sum**2_11" dataDxfId="1595" dataCellStyle="Percent"/>
    <tableColumn id="13" xr3:uid="{AF2CAAB5-0134-4944-A2DF-51F7D4C73924}" name="Sum**2_12" dataDxfId="1594" dataCellStyle="Percent"/>
    <tableColumn id="14" xr3:uid="{96835407-A70C-7447-8F4F-990440ABEC87}" name="Sum**2_13" dataDxfId="1593" dataCellStyle="Percent"/>
    <tableColumn id="15" xr3:uid="{CA0AA75C-43E5-784B-8D61-06F3C41CF8A0}" name="Sum**2_14" dataDxfId="1592" dataCellStyle="Percent"/>
    <tableColumn id="16" xr3:uid="{13A8CBF4-DB9A-B849-8F2C-A0A188E0DF2A}" name="Sum**2_15" dataDxfId="1591" dataCellStyle="Percent"/>
    <tableColumn id="17" xr3:uid="{1F0AAC37-63D2-6F47-A469-FCC7FEF1D822}" name="Sum**2_16" dataDxfId="1590" dataCellStyle="Percent"/>
    <tableColumn id="18" xr3:uid="{A2F60BCE-BEE7-654C-BC93-9A7FA97E5352}" name="Sum**2_17" dataDxfId="1589" dataCellStyle="Percent"/>
    <tableColumn id="19" xr3:uid="{C3C24884-56D0-D04B-B09F-B980FE86E022}" name="Sum**2_18" dataDxfId="1588" dataCellStyle="Percent"/>
    <tableColumn id="20" xr3:uid="{87579DA9-E185-BD4F-B501-5C2BD25EC567}" name="Sum**2_19" dataDxfId="1587" dataCellStyle="Percent"/>
    <tableColumn id="21" xr3:uid="{8C3E0B6F-730F-3540-A789-4533BE6E2F4F}" name="Sum**2_20" dataDxfId="1586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85" dataCellStyle="Percent">
  <autoFilter ref="AB1588:AV1681" xr:uid="{E6A8CF0B-7BCE-7A42-AF72-2FEB89DD3A0B}"/>
  <tableColumns count="21">
    <tableColumn id="1" xr3:uid="{9EDCB166-851C-9C48-A224-9B8BFE7FE3EA}" name="Sum**2_0" dataDxfId="1584" dataCellStyle="Percent"/>
    <tableColumn id="2" xr3:uid="{61601C57-E293-4C4A-A5AB-3FE09D2D2FF9}" name="Sum**2_1" dataDxfId="1583" dataCellStyle="Percent"/>
    <tableColumn id="3" xr3:uid="{1C26E27A-CF61-7E4F-9A2A-AF52B8F9FA0A}" name="Sum**2_2" dataDxfId="1582" dataCellStyle="Percent"/>
    <tableColumn id="4" xr3:uid="{75C65365-474A-3D45-ADC6-D2047EA06590}" name="Sum**2_3" dataDxfId="1581" dataCellStyle="Percent"/>
    <tableColumn id="5" xr3:uid="{09B33CCF-A873-244E-AC3B-291C83A0BE67}" name="Sum**2_4" dataDxfId="1580" dataCellStyle="Percent"/>
    <tableColumn id="6" xr3:uid="{9B1510FE-6D6F-5A4A-9B5A-BD71A0794CEE}" name="Sum**2_5" dataDxfId="1579" dataCellStyle="Percent"/>
    <tableColumn id="7" xr3:uid="{31F83491-B3A3-D54A-BA15-B163AC5F2C9A}" name="Sum**2_6" dataDxfId="1578" dataCellStyle="Percent"/>
    <tableColumn id="8" xr3:uid="{9979AA70-2D99-DE49-B7D5-D643B1001152}" name="Sum**2_7" dataDxfId="1577" dataCellStyle="Percent"/>
    <tableColumn id="9" xr3:uid="{56FDE8E4-7BDA-C045-92CE-C96F0478841C}" name="Sum**2_8" dataDxfId="1576" dataCellStyle="Percent"/>
    <tableColumn id="10" xr3:uid="{BF651EAC-5DE6-8C4B-ABC0-7FF266F414FD}" name="Sum**2_9" dataDxfId="1575" dataCellStyle="Percent"/>
    <tableColumn id="11" xr3:uid="{3274233F-09E2-B64E-8CBF-8506F78A99B0}" name="Sum**2_10" dataDxfId="1574" dataCellStyle="Percent"/>
    <tableColumn id="12" xr3:uid="{CD61E0F9-09BC-1745-A795-3F33957E3D3B}" name="Sum**2_11" dataDxfId="1573" dataCellStyle="Percent"/>
    <tableColumn id="13" xr3:uid="{BABFF967-AEF7-3644-A589-7A5B73F2D156}" name="Sum**2_12" dataDxfId="1572" dataCellStyle="Percent"/>
    <tableColumn id="14" xr3:uid="{D196ECB2-3F4E-6544-B4EC-2376A142D915}" name="Sum**2_13" dataDxfId="1571" dataCellStyle="Percent"/>
    <tableColumn id="15" xr3:uid="{4D81CFC7-992B-D642-904A-CBCDCAD97394}" name="Sum**2_14" dataDxfId="1570" dataCellStyle="Percent"/>
    <tableColumn id="16" xr3:uid="{5C315818-8E3C-1848-ABAE-9D4300EDBD1B}" name="Sum**2_15" dataDxfId="1569" dataCellStyle="Percent"/>
    <tableColumn id="17" xr3:uid="{728CDA8F-F9BB-C84B-83D6-434A28B7A69E}" name="Sum**2_16" dataDxfId="1568" dataCellStyle="Percent"/>
    <tableColumn id="18" xr3:uid="{AB73409A-6B6D-6B4B-9F6A-31BD45FAC5D4}" name="Sum**2_17" dataDxfId="1567" dataCellStyle="Percent"/>
    <tableColumn id="19" xr3:uid="{27A4013B-1966-EE44-AF6E-83D9EAC45769}" name="Sum**2_18" dataDxfId="1566" dataCellStyle="Percent"/>
    <tableColumn id="20" xr3:uid="{E4C94DB5-B5B2-DE4C-93AC-18C099042A0A}" name="Sum**2_19" dataDxfId="1565" dataCellStyle="Percent"/>
    <tableColumn id="21" xr3:uid="{8DDFD0E0-45EB-0249-B5F1-B1404A2BB9D0}" name="Sum**2_20" dataDxfId="1564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63" totalsRowDxfId="1561" tableBorderDxfId="1562">
  <autoFilter ref="A3:KC56" xr:uid="{6184EC62-F546-EC44-B85F-22666178BACB}"/>
  <tableColumns count="289">
    <tableColumn id="1" xr3:uid="{57623EC6-295D-6C46-8762-F4C1DD08499F}" name="RegIndex" dataDxfId="1560" totalsRowDxfId="987"/>
    <tableColumn id="2" xr3:uid="{59C53E03-08BC-7241-A405-B961C9CD4E4C}" name="AAPL" totalsRowFunction="custom" dataDxfId="1559" totalsRowDxfId="986">
      <totalsRowFormula>COUNT(TabReg[AAPL])</totalsRowFormula>
    </tableColumn>
    <tableColumn id="3" xr3:uid="{E8ED35B7-2399-6041-8311-C19BDE1DDA95}" name="AAPL1" totalsRowFunction="custom" dataDxfId="1558" totalsRowDxfId="985" dataCellStyle="Comma">
      <totalsRowFormula>COUNT(TabReg[AAPL1])</totalsRowFormula>
    </tableColumn>
    <tableColumn id="4" xr3:uid="{C3865FAF-DC26-3B45-AC2D-579945EE4DE2}" name="AAPL2" totalsRowFunction="custom" dataDxfId="1557" totalsRowDxfId="984" dataCellStyle="Comma">
      <totalsRowFormula>COUNT(TabReg[AAPL2])</totalsRowFormula>
    </tableColumn>
    <tableColumn id="5" xr3:uid="{58414643-D5EF-DC42-BE18-AFAB1AA967A3}" name="ADEA" totalsRowFunction="custom" dataDxfId="1556" totalsRowDxfId="983">
      <totalsRowFormula>COUNT(TabReg[ADEA])</totalsRowFormula>
    </tableColumn>
    <tableColumn id="6" xr3:uid="{770722DB-0B2C-4149-8CBF-EBAC14770B02}" name="ADEA1" totalsRowFunction="custom" dataDxfId="1555" totalsRowDxfId="982" dataCellStyle="Comma">
      <totalsRowFormula>COUNT(TabReg[ADEA1])</totalsRowFormula>
    </tableColumn>
    <tableColumn id="7" xr3:uid="{ADBB0985-AFC7-0A49-AAD9-9FD8A0ADA9E8}" name="ADEA2" totalsRowFunction="custom" dataDxfId="1554" totalsRowDxfId="981" dataCellStyle="Comma">
      <totalsRowFormula>COUNT(TabReg[ADEA2])</totalsRowFormula>
    </tableColumn>
    <tableColumn id="8" xr3:uid="{F9B8D055-A3B6-6049-AB67-FD35F31EAD12}" name="AET" totalsRowFunction="custom" dataDxfId="1553" totalsRowDxfId="980">
      <totalsRowFormula>COUNT(TabReg[AET])</totalsRowFormula>
    </tableColumn>
    <tableColumn id="9" xr3:uid="{4F1B47E7-AE09-DE47-9326-7E38373F590D}" name="AET1" totalsRowFunction="custom" dataDxfId="1552" totalsRowDxfId="979" dataCellStyle="Comma">
      <totalsRowFormula>COUNT(TabReg[AET1])</totalsRowFormula>
    </tableColumn>
    <tableColumn id="10" xr3:uid="{C55D7E50-6E70-8245-AF6D-9B0AF1B842F6}" name="AET2" totalsRowFunction="custom" dataDxfId="1551" totalsRowDxfId="978" dataCellStyle="Comma">
      <totalsRowFormula>COUNT(TabReg[AET2])</totalsRowFormula>
    </tableColumn>
    <tableColumn id="11" xr3:uid="{75AEAC53-9C89-8F4E-A89E-5819F07855E8}" name="AMZN" totalsRowFunction="custom" dataDxfId="1550" totalsRowDxfId="977">
      <totalsRowFormula>COUNT(TabReg[AMZN])</totalsRowFormula>
    </tableColumn>
    <tableColumn id="12" xr3:uid="{50DF90F7-5FF8-F84C-9DEF-B56AE90E9FE1}" name="AMZN1" totalsRowFunction="custom" dataDxfId="1549" totalsRowDxfId="976" dataCellStyle="Comma">
      <totalsRowFormula>COUNT(TabReg[AMZN1])</totalsRowFormula>
    </tableColumn>
    <tableColumn id="13" xr3:uid="{BB3AD602-9B27-A44D-956D-E044A03841B0}" name="AMZN2" totalsRowFunction="custom" dataDxfId="1548" totalsRowDxfId="975" dataCellStyle="Comma">
      <totalsRowFormula>COUNT(TabReg[AMZN2])</totalsRowFormula>
    </tableColumn>
    <tableColumn id="14" xr3:uid="{49715757-C441-334A-8359-CB03A54D44A0}" name="ALDNE" totalsRowFunction="custom" dataDxfId="1547" totalsRowDxfId="974" dataCellStyle="Comma">
      <totalsRowFormula>COUNT(TabReg[ALDNE])</totalsRowFormula>
    </tableColumn>
    <tableColumn id="15" xr3:uid="{2367F0AA-874E-0F49-8743-948F4AA0066D}" name="ALDNE1" totalsRowFunction="custom" dataDxfId="1546" totalsRowDxfId="973" dataCellStyle="Comma">
      <totalsRowFormula>COUNT(TabReg[ALDNE1])</totalsRowFormula>
    </tableColumn>
    <tableColumn id="16" xr3:uid="{136C77A7-D877-524E-A602-4F388B4DC883}" name="ALDNE2" totalsRowFunction="custom" dataDxfId="1545" totalsRowDxfId="972" dataCellStyle="Comma">
      <totalsRowFormula>COUNT(TabReg[ALDNE2])</totalsRowFormula>
    </tableColumn>
    <tableColumn id="179" xr3:uid="{24648F26-5ACD-B54B-A6CE-ED445344889D}" name="ASML" totalsRowFunction="custom" dataDxfId="1544" totalsRowDxfId="971" dataCellStyle="Comma">
      <totalsRowFormula>COUNT(TabReg[ASML])</totalsRowFormula>
    </tableColumn>
    <tableColumn id="180" xr3:uid="{4685999F-AD40-C34D-B18F-9AE018200409}" name="ASML1" totalsRowFunction="custom" dataDxfId="1543" totalsRowDxfId="970" dataCellStyle="Comma">
      <totalsRowFormula>COUNT(TabReg[ASML1])</totalsRowFormula>
    </tableColumn>
    <tableColumn id="181" xr3:uid="{4FFE09BD-40A8-0846-9183-DCBB01B1E7C1}" name="ASML2" totalsRowFunction="custom" dataDxfId="1542" totalsRowDxfId="969" dataCellStyle="Comma">
      <totalsRowFormula>COUNT(TabReg[ASML2])</totalsRowFormula>
    </tableColumn>
    <tableColumn id="279" xr3:uid="{7779299B-53A0-B24B-931D-BAB9A59FEE4F}" name="AZN" totalsRowFunction="custom" dataDxfId="1541" totalsRowDxfId="968" dataCellStyle="Comma">
      <totalsRowFormula>COUNT(TabReg[AZN])</totalsRowFormula>
    </tableColumn>
    <tableColumn id="280" xr3:uid="{E931132A-A088-874A-B802-74955F5A51ED}" name="AZN1" totalsRowFunction="custom" dataDxfId="1540" totalsRowDxfId="967" dataCellStyle="Comma">
      <totalsRowFormula>COUNT(TabReg[AZN1])</totalsRowFormula>
    </tableColumn>
    <tableColumn id="278" xr3:uid="{2DB0600A-9980-454D-B57C-8E1729380840}" name="AZN2" totalsRowFunction="custom" dataDxfId="1539" totalsRowDxfId="966" dataCellStyle="Comma">
      <totalsRowFormula>COUNT(TabReg[AZN2])</totalsRowFormula>
    </tableColumn>
    <tableColumn id="290" xr3:uid="{3A948DBC-E554-114B-9856-05ED7CFD7F8C}" name="BLDP" totalsRowFunction="custom" dataDxfId="1538" totalsRowDxfId="965" dataCellStyle="Comma">
      <totalsRowFormula>COUNT(TabReg[BLDP])</totalsRowFormula>
    </tableColumn>
    <tableColumn id="291" xr3:uid="{EBF4CFFB-7F3F-A648-AA96-9F683DEB40C2}" name="BLDP1" totalsRowFunction="custom" dataDxfId="1537" totalsRowDxfId="964" dataCellStyle="Comma">
      <totalsRowFormula>COUNT(TabReg[BLDP1])</totalsRowFormula>
    </tableColumn>
    <tableColumn id="292" xr3:uid="{DEF375A3-1AEB-1447-AAA1-210FF59FFAB3}" name="BLDP2" totalsRowFunction="custom" dataDxfId="1536" totalsRowDxfId="963" dataCellStyle="Comma">
      <totalsRowFormula>COUNT(TabReg[BLDP2])</totalsRowFormula>
    </tableColumn>
    <tableColumn id="281" xr3:uid="{3B2EE5F2-7BA3-4944-9A29-0E94A422A457}" name="BMRA" totalsRowFunction="custom" dataDxfId="1535" totalsRowDxfId="962" dataCellStyle="Comma">
      <totalsRowFormula>COUNT(TabReg[BMRA])</totalsRowFormula>
    </tableColumn>
    <tableColumn id="282" xr3:uid="{7CAF9C5B-8DD1-DC42-8DE9-44E2726437AF}" name="BMRA1" totalsRowFunction="custom" dataDxfId="1534" totalsRowDxfId="961" dataCellStyle="Comma">
      <totalsRowFormula>COUNT(TabReg[BMRA1])</totalsRowFormula>
    </tableColumn>
    <tableColumn id="283" xr3:uid="{86EB1738-523E-9446-A1FD-BA96C5EEC9D8}" name="BMRA2" totalsRowFunction="custom" dataDxfId="1533" totalsRowDxfId="960" dataCellStyle="Comma">
      <totalsRowFormula>COUNT(TabReg[BMRA2])</totalsRowFormula>
    </tableColumn>
    <tableColumn id="17" xr3:uid="{6CE9E4BB-2E28-D048-BEC8-1E8072E45461}" name="C" totalsRowFunction="custom" dataDxfId="1532" totalsRowDxfId="959" dataCellStyle="Comma">
      <totalsRowFormula>COUNT(TabReg[C])</totalsRowFormula>
    </tableColumn>
    <tableColumn id="18" xr3:uid="{9335FB1F-2111-9347-8BEA-BA672F606FE1}" name="C1" totalsRowFunction="custom" dataDxfId="1531" totalsRowDxfId="958" dataCellStyle="Comma">
      <totalsRowFormula>COUNT(TabReg[C1])</totalsRowFormula>
    </tableColumn>
    <tableColumn id="19" xr3:uid="{47B8B9DB-56E0-4849-B633-AB8E567BC6A2}" name="C2" totalsRowFunction="custom" dataDxfId="1530" totalsRowDxfId="957" dataCellStyle="Comma">
      <totalsRowFormula>COUNT(TabReg[C2])</totalsRowFormula>
    </tableColumn>
    <tableColumn id="20" xr3:uid="{66BF6E62-9341-8D45-8C56-4B59337C40DE}" name="CSCO" totalsRowFunction="custom" dataDxfId="1529" totalsRowDxfId="956" dataCellStyle="Comma">
      <totalsRowFormula>COUNT(TabReg[CSCO])</totalsRowFormula>
    </tableColumn>
    <tableColumn id="21" xr3:uid="{0766B374-52D4-2947-BA01-337368F5998F}" name="CSCO1" totalsRowFunction="custom" dataDxfId="1528" totalsRowDxfId="955" dataCellStyle="Comma">
      <totalsRowFormula>COUNT(TabReg[CSCO1])</totalsRowFormula>
    </tableColumn>
    <tableColumn id="22" xr3:uid="{9342CC24-A8C2-5B40-86F8-AEAC5372742F}" name="CSCO2" totalsRowFunction="custom" dataDxfId="1527" totalsRowDxfId="954" dataCellStyle="Comma">
      <totalsRowFormula>COUNT(TabReg[CSCO2])</totalsRowFormula>
    </tableColumn>
    <tableColumn id="23" xr3:uid="{3B6738B7-B322-7B41-9D51-6C47F21F1EC2}" name="CVS" totalsRowFunction="custom" dataDxfId="1526" totalsRowDxfId="953" dataCellStyle="Comma">
      <totalsRowFormula>COUNT(TabReg[CVS])</totalsRowFormula>
    </tableColumn>
    <tableColumn id="24" xr3:uid="{69FD021F-7252-9E48-A9C1-B58E1E44090C}" name="CVS1" totalsRowFunction="custom" dataDxfId="1525" totalsRowDxfId="952" dataCellStyle="Comma">
      <totalsRowFormula>COUNT(TabReg[CVS1])</totalsRowFormula>
    </tableColumn>
    <tableColumn id="25" xr3:uid="{1459F42D-6ADD-C642-9895-1BEA61E6EB67}" name="CVS2" totalsRowFunction="custom" dataDxfId="1524" totalsRowDxfId="951" dataCellStyle="Comma">
      <totalsRowFormula>COUNT(TabReg[CVS2])</totalsRowFormula>
    </tableColumn>
    <tableColumn id="26" xr3:uid="{063E938B-FAE4-744E-9F28-8F39125ADC16}" name="DDD" totalsRowFunction="custom" dataDxfId="1523" totalsRowDxfId="950">
      <totalsRowFormula>COUNT(TabReg[DDD])</totalsRowFormula>
    </tableColumn>
    <tableColumn id="27" xr3:uid="{1C7D2960-4D7C-3A43-864A-9D2F2207D012}" name="DDD1" totalsRowFunction="custom" dataDxfId="1522" totalsRowDxfId="949" dataCellStyle="Comma">
      <totalsRowFormula>COUNT(TabReg[DDD1])</totalsRowFormula>
    </tableColumn>
    <tableColumn id="28" xr3:uid="{1BEB1AF9-8C3C-B04C-9A62-E35492C2C4B4}" name="DDD2" totalsRowFunction="custom" dataDxfId="1521" totalsRowDxfId="948" dataCellStyle="Comma">
      <totalsRowFormula>COUNT(TabReg[DDD2])</totalsRowFormula>
    </tableColumn>
    <tableColumn id="29" xr3:uid="{ABF122A5-B5D9-754E-898C-5A469C089337}" name="DIS" totalsRowFunction="custom" dataDxfId="1520" totalsRowDxfId="947">
      <totalsRowFormula>COUNT(TabReg[DIS])</totalsRowFormula>
    </tableColumn>
    <tableColumn id="30" xr3:uid="{7C2A5D2F-4040-8040-8346-E75A957CFF74}" name="DIS1" totalsRowFunction="custom" dataDxfId="1519" totalsRowDxfId="946" dataCellStyle="Comma">
      <totalsRowFormula>COUNT(TabReg[DIS1])</totalsRowFormula>
    </tableColumn>
    <tableColumn id="31" xr3:uid="{3D5AE59B-27C1-0F4D-8490-91E3B001EC18}" name="DIS2" totalsRowFunction="custom" dataDxfId="1518" totalsRowDxfId="945" dataCellStyle="Comma">
      <totalsRowFormula>COUNT(TabReg[DIS2])</totalsRowFormula>
    </tableColumn>
    <tableColumn id="32" xr3:uid="{D9A01F25-6BC9-2A4C-BE7A-8A095A4F4699}" name="DSY" totalsRowFunction="custom" dataDxfId="1517" totalsRowDxfId="944">
      <totalsRowFormula>COUNT(TabReg[DSY])</totalsRowFormula>
    </tableColumn>
    <tableColumn id="33" xr3:uid="{345BC183-7AAE-3C47-BE0D-B82379F2CAE1}" name="DSY1" totalsRowFunction="custom" dataDxfId="1516" totalsRowDxfId="943" dataCellStyle="Comma">
      <totalsRowFormula>COUNT(TabReg[DSY1])</totalsRowFormula>
    </tableColumn>
    <tableColumn id="34" xr3:uid="{25CD66A3-4CD6-E742-B453-45470819DC16}" name="DSY2" totalsRowFunction="custom" dataDxfId="1515" totalsRowDxfId="942" dataCellStyle="Comma">
      <totalsRowFormula>COUNT(TabReg[DSY2])</totalsRowFormula>
    </tableColumn>
    <tableColumn id="35" xr3:uid="{D83AFDCF-42BD-564D-9427-1D78C6682439}" name="DVA" totalsRowFunction="custom" dataDxfId="1514" totalsRowDxfId="941">
      <totalsRowFormula>COUNT(TabReg[DVA])</totalsRowFormula>
    </tableColumn>
    <tableColumn id="36" xr3:uid="{C061890B-B5E9-6841-8038-940695CA8CF1}" name="DVA1" totalsRowFunction="custom" dataDxfId="1513" totalsRowDxfId="940" dataCellStyle="Comma">
      <totalsRowFormula>COUNT(TabReg[DVA1])</totalsRowFormula>
    </tableColumn>
    <tableColumn id="37" xr3:uid="{BDA00239-5392-EB47-861F-6CC9421DE4C2}" name="DVA2" totalsRowFunction="custom" dataDxfId="1512" totalsRowDxfId="939" dataCellStyle="Comma">
      <totalsRowFormula>COUNT(TabReg[DVA2])</totalsRowFormula>
    </tableColumn>
    <tableColumn id="38" xr3:uid="{EAB6CDF7-DCC5-3947-82F8-B20B36657868}" name="DXC" totalsRowFunction="custom" dataDxfId="1511" totalsRowDxfId="938">
      <totalsRowFormula>COUNT(TabReg[DXC])</totalsRowFormula>
    </tableColumn>
    <tableColumn id="39" xr3:uid="{70295CBC-7FD4-C542-97C0-076D2DBB8560}" name="DXC1" totalsRowFunction="custom" dataDxfId="1510" totalsRowDxfId="937" dataCellStyle="Comma">
      <totalsRowFormula>COUNT(TabReg[DXC1])</totalsRowFormula>
    </tableColumn>
    <tableColumn id="40" xr3:uid="{FD803DE8-0F34-1F4F-B4CA-C142B6124013}" name="DXC2" totalsRowFunction="custom" dataDxfId="1509" totalsRowDxfId="936" dataCellStyle="Comma">
      <totalsRowFormula>COUNT(TabReg[DXC2])</totalsRowFormula>
    </tableColumn>
    <tableColumn id="41" xr3:uid="{883A6563-5D30-3647-A642-03C1D2587F09}" name="EOAN" totalsRowFunction="custom" dataDxfId="1508" totalsRowDxfId="935">
      <totalsRowFormula>COUNT(TabReg[EOAN])</totalsRowFormula>
    </tableColumn>
    <tableColumn id="42" xr3:uid="{DA9DDAAE-CAB2-6143-95E1-1416DF9923B1}" name="EOAN1" totalsRowFunction="custom" dataDxfId="1507" totalsRowDxfId="934" dataCellStyle="Comma">
      <totalsRowFormula>COUNT(TabReg[EOAN1])</totalsRowFormula>
    </tableColumn>
    <tableColumn id="43" xr3:uid="{313E3763-ACA8-6547-84D3-3905F0AEFB64}" name="EOAN2" totalsRowFunction="custom" dataDxfId="1506" totalsRowDxfId="933" dataCellStyle="Comma">
      <totalsRowFormula>COUNT(TabReg[EOAN2])</totalsRowFormula>
    </tableColumn>
    <tableColumn id="44" xr3:uid="{DE961D13-327B-554F-B7CF-C73C3AEF6BBD}" name="EPIX" totalsRowFunction="custom" dataDxfId="1505" totalsRowDxfId="932">
      <totalsRowFormula>COUNT(TabReg[EPIX])</totalsRowFormula>
    </tableColumn>
    <tableColumn id="45" xr3:uid="{6C6AE2AF-0CFC-044D-B320-623532E243D7}" name="EPIX1" totalsRowFunction="custom" dataDxfId="1504" totalsRowDxfId="931" dataCellStyle="Comma">
      <totalsRowFormula>COUNT(TabReg[EPIX1])</totalsRowFormula>
    </tableColumn>
    <tableColumn id="46" xr3:uid="{A85AEFAE-0C46-2342-A2A0-03C1C03F2383}" name="EPIX2" totalsRowFunction="custom" dataDxfId="1503" totalsRowDxfId="930" dataCellStyle="Comma">
      <totalsRowFormula>COUNT(TabReg[EPIX2])</totalsRowFormula>
    </tableColumn>
    <tableColumn id="47" xr3:uid="{1034943A-F82F-A944-8F7E-1E4A894BCAF1}" name="GM" totalsRowFunction="custom" dataDxfId="1502" totalsRowDxfId="929">
      <totalsRowFormula>COUNT(TabReg[GM])</totalsRowFormula>
    </tableColumn>
    <tableColumn id="48" xr3:uid="{51DE31AC-13D3-CD46-B5FE-5DA3D9A31D71}" name="GM1" totalsRowFunction="custom" dataDxfId="1501" totalsRowDxfId="928" dataCellStyle="Comma">
      <totalsRowFormula>COUNT(TabReg[GM1])</totalsRowFormula>
    </tableColumn>
    <tableColumn id="49" xr3:uid="{574522F8-74D0-F04C-86A4-21E8FF51BAF4}" name="GM2" totalsRowFunction="custom" dataDxfId="1500" totalsRowDxfId="927" dataCellStyle="Comma">
      <totalsRowFormula>COUNT(TabReg[GM2])</totalsRowFormula>
    </tableColumn>
    <tableColumn id="50" xr3:uid="{F1F680B7-6221-4B43-9EEC-42EADC72535E}" name="HPE" totalsRowFunction="custom" dataDxfId="1499" totalsRowDxfId="926">
      <totalsRowFormula>COUNT(TabReg[HPE])</totalsRowFormula>
    </tableColumn>
    <tableColumn id="51" xr3:uid="{A794E8F2-2178-E945-A531-C9DEAC87C0CF}" name="HPE1" totalsRowFunction="custom" dataDxfId="1498" totalsRowDxfId="925" dataCellStyle="Comma">
      <totalsRowFormula>COUNT(TabReg[HPE1])</totalsRowFormula>
    </tableColumn>
    <tableColumn id="52" xr3:uid="{74900C8F-AF95-EF44-8790-FF51D716DB9C}" name="HPE2" totalsRowFunction="custom" dataDxfId="1497" totalsRowDxfId="924" dataCellStyle="Comma">
      <totalsRowFormula>COUNT(TabReg[HPE2])</totalsRowFormula>
    </tableColumn>
    <tableColumn id="53" xr3:uid="{9E4C7D64-DCA6-8149-AAA3-41838EBEED0F}" name="HPQ" totalsRowFunction="custom" dataDxfId="1496" totalsRowDxfId="923">
      <totalsRowFormula>COUNT(TabReg[HPQ])</totalsRowFormula>
    </tableColumn>
    <tableColumn id="54" xr3:uid="{3322AA64-E865-144B-80CB-759A3279236E}" name="HPQ1" totalsRowFunction="custom" dataDxfId="1495" totalsRowDxfId="922" dataCellStyle="Comma">
      <totalsRowFormula>COUNT(TabReg[HPQ1])</totalsRowFormula>
    </tableColumn>
    <tableColumn id="55" xr3:uid="{94334F80-D1DF-404A-B3D8-EF0FA062E0F9}" name="HPQ2" totalsRowFunction="custom" dataDxfId="1494" totalsRowDxfId="921" dataCellStyle="Comma">
      <totalsRowFormula>COUNT(TabReg[HPQ2])</totalsRowFormula>
    </tableColumn>
    <tableColumn id="284" xr3:uid="{B51A72A3-F030-9F40-92FE-BF02BB2A5D59}" name="IAG" totalsRowFunction="custom" dataDxfId="1493" totalsRowDxfId="920">
      <totalsRowFormula>COUNT(TabReg[IAG])</totalsRowFormula>
    </tableColumn>
    <tableColumn id="285" xr3:uid="{CEA5A13B-039C-444A-8A33-BDB427ADC196}" name="IAG1" totalsRowFunction="custom" dataDxfId="1492" totalsRowDxfId="919" dataCellStyle="Comma">
      <totalsRowFormula>COUNT(TabReg[IAG1])</totalsRowFormula>
    </tableColumn>
    <tableColumn id="286" xr3:uid="{2E05A3E4-533D-F646-8DBA-FDCA0D064519}" name="IAG2" totalsRowFunction="custom" dataDxfId="1491" totalsRowDxfId="918" dataCellStyle="Comma">
      <totalsRowFormula>COUNT(TabReg[IAG2])</totalsRowFormula>
    </tableColumn>
    <tableColumn id="56" xr3:uid="{6F12E7F1-8AF1-1846-AF5B-31B60034E0D7}" name="KR" totalsRowFunction="custom" dataDxfId="1490" totalsRowDxfId="917">
      <totalsRowFormula>COUNT(TabReg[KR])</totalsRowFormula>
    </tableColumn>
    <tableColumn id="57" xr3:uid="{5BEC4E93-146D-7245-8EDE-093807DDEE21}" name="KR1" totalsRowFunction="custom" dataDxfId="1489" totalsRowDxfId="916" dataCellStyle="Comma">
      <totalsRowFormula>COUNT(TabReg[KR1])</totalsRowFormula>
    </tableColumn>
    <tableColumn id="58" xr3:uid="{717517AC-D851-A04B-9414-52C005882D84}" name="KR2" totalsRowFunction="custom" dataDxfId="1488" totalsRowDxfId="915" dataCellStyle="Comma">
      <totalsRowFormula>COUNT(TabReg[KR2])</totalsRowFormula>
    </tableColumn>
    <tableColumn id="59" xr3:uid="{D021B57D-07DD-E947-B756-65EFC624E3F3}" name="LNSR" totalsRowFunction="custom" dataDxfId="1487" totalsRowDxfId="914">
      <totalsRowFormula>COUNT(TabReg[LNSR])</totalsRowFormula>
    </tableColumn>
    <tableColumn id="60" xr3:uid="{66BE0145-D170-4D49-8DAC-3456350BE6D9}" name="LNSR1" totalsRowFunction="custom" dataDxfId="1486" totalsRowDxfId="913" dataCellStyle="Comma">
      <totalsRowFormula>COUNT(TabReg[LNSR1])</totalsRowFormula>
    </tableColumn>
    <tableColumn id="61" xr3:uid="{7AD7594E-BCF1-7E48-8728-03B525428275}" name="LNSR2" totalsRowFunction="custom" dataDxfId="1485" totalsRowDxfId="912" dataCellStyle="Comma">
      <totalsRowFormula>COUNT(TabReg[LNSR2])</totalsRowFormula>
    </tableColumn>
    <tableColumn id="62" xr3:uid="{43377BA1-60BD-EE40-894C-18287FDB1B16}" name="LUMN" totalsRowFunction="custom" dataDxfId="1484" totalsRowDxfId="911">
      <totalsRowFormula>COUNT(TabReg[LUMN])</totalsRowFormula>
    </tableColumn>
    <tableColumn id="63" xr3:uid="{AD8D0B7B-217E-934B-A293-F7C63FBED141}" name="LUMN1" totalsRowFunction="custom" dataDxfId="1483" totalsRowDxfId="910" dataCellStyle="Comma">
      <totalsRowFormula>COUNT(TabReg[LUMN1])</totalsRowFormula>
    </tableColumn>
    <tableColumn id="64" xr3:uid="{A870C284-0CA4-AE40-9EE1-3AB29BC5D4F3}" name="LUMN2" totalsRowFunction="custom" dataDxfId="1482" totalsRowDxfId="909" dataCellStyle="Comma">
      <totalsRowFormula>COUNT(TabReg[LUMN2])</totalsRowFormula>
    </tableColumn>
    <tableColumn id="65" xr3:uid="{E275E28D-3757-9044-A4A4-D99F5D566005}" name="MRNA" totalsRowFunction="custom" dataDxfId="1481" totalsRowDxfId="908">
      <totalsRowFormula>COUNT(TabReg[MRNA])</totalsRowFormula>
    </tableColumn>
    <tableColumn id="66" xr3:uid="{6AD855FC-9BBF-C445-985D-CA7838F8FD2D}" name="MRNA1" totalsRowFunction="custom" dataDxfId="1480" totalsRowDxfId="907" dataCellStyle="Comma">
      <totalsRowFormula>COUNT(TabReg[MRNA1])</totalsRowFormula>
    </tableColumn>
    <tableColumn id="67" xr3:uid="{3068B037-08B2-D448-9549-6A149801D195}" name="MRNA2" totalsRowFunction="custom" dataDxfId="1479" totalsRowDxfId="906" dataCellStyle="Comma">
      <totalsRowFormula>COUNT(TabReg[MRNA2])</totalsRowFormula>
    </tableColumn>
    <tableColumn id="68" xr3:uid="{49549E71-6C51-4A4C-B492-0153C310953B}" name="MSFT" totalsRowFunction="custom" dataDxfId="1478" totalsRowDxfId="905">
      <totalsRowFormula>COUNT(TabReg[MSFT])</totalsRowFormula>
    </tableColumn>
    <tableColumn id="69" xr3:uid="{8DF195BA-794A-0A40-8685-FAE62977224A}" name="MSFT1" totalsRowFunction="custom" dataDxfId="1477" totalsRowDxfId="904" dataCellStyle="Comma">
      <totalsRowFormula>COUNT(TabReg[MSFT1])</totalsRowFormula>
    </tableColumn>
    <tableColumn id="70" xr3:uid="{E7B650AE-A343-1F4D-B438-EAF54796762D}" name="MSFT2" totalsRowFunction="custom" dataDxfId="1476" totalsRowDxfId="903" dataCellStyle="Comma">
      <totalsRowFormula>COUNT(TabReg[MSFT2])</totalsRowFormula>
    </tableColumn>
    <tableColumn id="71" xr3:uid="{4607C2AF-82CF-2243-A48D-A39169CBA57A}" name="NEE" totalsRowFunction="custom" dataDxfId="1475" totalsRowDxfId="902">
      <totalsRowFormula>COUNT(TabReg[NEE])</totalsRowFormula>
    </tableColumn>
    <tableColumn id="72" xr3:uid="{5D4EB61A-7397-9E47-8536-E31BAAA24355}" name="NEE1" totalsRowFunction="custom" dataDxfId="1474" totalsRowDxfId="901" dataCellStyle="Comma">
      <totalsRowFormula>COUNT(TabReg[NEE1])</totalsRowFormula>
    </tableColumn>
    <tableColumn id="73" xr3:uid="{B6AABF8F-F7D4-BB41-AAD4-AFCC47585858}" name="NEE2" totalsRowFunction="custom" dataDxfId="1473" totalsRowDxfId="900" dataCellStyle="Comma">
      <totalsRowFormula>COUNT(TabReg[NEE2])</totalsRowFormula>
    </tableColumn>
    <tableColumn id="74" xr3:uid="{52882C01-3B38-C744-BF22-E05F01808FEE}" name="NEM" totalsRowFunction="custom" dataDxfId="1472" totalsRowDxfId="899">
      <totalsRowFormula>COUNT(TabReg[NEM])</totalsRowFormula>
    </tableColumn>
    <tableColumn id="75" xr3:uid="{24398854-C209-6C4B-9B66-920EB4C8B544}" name="NEM1" totalsRowFunction="custom" dataDxfId="1471" totalsRowDxfId="898" dataCellStyle="Comma">
      <totalsRowFormula>COUNT(TabReg[NEM1])</totalsRowFormula>
    </tableColumn>
    <tableColumn id="76" xr3:uid="{3597365E-AEEA-6047-A23F-2848214BCC19}" name="NEM2" totalsRowFunction="custom" dataDxfId="1470" totalsRowDxfId="897" dataCellStyle="Comma">
      <totalsRowFormula>COUNT(TabReg[NEM2])</totalsRowFormula>
    </tableColumn>
    <tableColumn id="77" xr3:uid="{4BD1BB60-3B6E-B547-9FE0-2B384EFF0910}" name="NFLX" totalsRowFunction="custom" dataDxfId="1469" totalsRowDxfId="896">
      <totalsRowFormula>COUNT(TabReg[NFLX])</totalsRowFormula>
    </tableColumn>
    <tableColumn id="78" xr3:uid="{CAF9351A-3A29-0D44-B1EE-3271D7689AFA}" name="NFLX1" totalsRowFunction="custom" dataDxfId="1468" totalsRowDxfId="895" dataCellStyle="Comma">
      <totalsRowFormula>COUNT(TabReg[NFLX1])</totalsRowFormula>
    </tableColumn>
    <tableColumn id="79" xr3:uid="{0510658C-3791-4748-BD84-8C9883EE2448}" name="NFLX2" totalsRowFunction="custom" dataDxfId="1467" totalsRowDxfId="894" dataCellStyle="Comma">
      <totalsRowFormula>COUNT(TabReg[NFLX2])</totalsRowFormula>
    </tableColumn>
    <tableColumn id="80" xr3:uid="{442BD350-9075-D64B-8A88-64DCBE51B30A}" name="NOTE" totalsRowFunction="custom" dataDxfId="1466" totalsRowDxfId="893">
      <totalsRowFormula>COUNT(TabReg[NOTE])</totalsRowFormula>
    </tableColumn>
    <tableColumn id="81" xr3:uid="{6DE1FDFB-FFF4-AC4C-AF68-9F7F0CF3B558}" name="NOTE1" totalsRowFunction="custom" dataDxfId="1465" totalsRowDxfId="892" dataCellStyle="Comma">
      <totalsRowFormula>COUNT(TabReg[NOTE1])</totalsRowFormula>
    </tableColumn>
    <tableColumn id="82" xr3:uid="{DE24F44E-8FA3-B048-82A8-E77F97825CA4}" name="NOTE2" totalsRowFunction="custom" dataDxfId="1464" totalsRowDxfId="891" dataCellStyle="Comma">
      <totalsRowFormula>COUNT(TabReg[NOTE2])</totalsRowFormula>
    </tableColumn>
    <tableColumn id="83" xr3:uid="{9F6B78F2-DBBC-1A46-A62D-57E0901EF550}" name="PAAS" totalsRowFunction="custom" dataDxfId="1463" totalsRowDxfId="890">
      <totalsRowFormula>COUNT(TabReg[PAAS])</totalsRowFormula>
    </tableColumn>
    <tableColumn id="84" xr3:uid="{0C908565-3389-EC4E-A6AB-52D31DD4689D}" name="PAAS1" totalsRowFunction="custom" dataDxfId="1462" totalsRowDxfId="889" dataCellStyle="Comma">
      <totalsRowFormula>COUNT(TabReg[PAAS1])</totalsRowFormula>
    </tableColumn>
    <tableColumn id="85" xr3:uid="{2B626666-3F4C-DA47-9281-BDA5E66093CD}" name="PAAS2" totalsRowFunction="custom" dataDxfId="1461" totalsRowDxfId="888" dataCellStyle="Comma">
      <totalsRowFormula>COUNT(TabReg[PAAS2])</totalsRowFormula>
    </tableColumn>
    <tableColumn id="86" xr3:uid="{F4E3303B-0E98-4C4C-AE0B-E64934CC95A6}" name="PROF" totalsRowFunction="custom" dataDxfId="1460" totalsRowDxfId="887">
      <totalsRowFormula>COUNT(TabReg[PROF])</totalsRowFormula>
    </tableColumn>
    <tableColumn id="87" xr3:uid="{DE03D08F-9F3C-D449-A3B5-8748D00BFE01}" name="PROF1" totalsRowFunction="custom" dataDxfId="1459" totalsRowDxfId="886" dataCellStyle="Comma">
      <totalsRowFormula>COUNT(TabReg[PROF1])</totalsRowFormula>
    </tableColumn>
    <tableColumn id="88" xr3:uid="{3569531C-2EA3-5B48-A18A-1DCF94D98401}" name="PROF2" totalsRowFunction="custom" dataDxfId="1458" totalsRowDxfId="885" dataCellStyle="Comma">
      <totalsRowFormula>COUNT(TabReg[PROF2])</totalsRowFormula>
    </tableColumn>
    <tableColumn id="89" xr3:uid="{75113B95-6171-E140-BB9D-63439FA70099}" name="POET" totalsRowFunction="custom" dataDxfId="1457" totalsRowDxfId="884">
      <totalsRowFormula>COUNT(TabReg[POET])</totalsRowFormula>
    </tableColumn>
    <tableColumn id="90" xr3:uid="{83152C3B-8CD6-B143-9EB4-93109EC82770}" name="POET1" totalsRowFunction="custom" dataDxfId="1456" totalsRowDxfId="883" dataCellStyle="Comma">
      <totalsRowFormula>COUNT(TabReg[POET1])</totalsRowFormula>
    </tableColumn>
    <tableColumn id="91" xr3:uid="{3E7BB71D-2688-9E47-A610-5D73CD9AA787}" name="POET2" totalsRowFunction="custom" dataDxfId="1455" totalsRowDxfId="882" dataCellStyle="Comma">
      <totalsRowFormula>COUNT(TabReg[POET2])</totalsRowFormula>
    </tableColumn>
    <tableColumn id="92" xr3:uid="{CE5B0666-9EC2-054D-AFC3-C980131F81B8}" name="PW" totalsRowFunction="custom" dataDxfId="1454" totalsRowDxfId="881">
      <totalsRowFormula>COUNT(TabReg[PW])</totalsRowFormula>
    </tableColumn>
    <tableColumn id="93" xr3:uid="{0E0F1866-7C84-6648-9FED-367E22A8B639}" name="PW1" totalsRowFunction="custom" dataDxfId="1453" totalsRowDxfId="880" dataCellStyle="Comma">
      <totalsRowFormula>COUNT(TabReg[PW1])</totalsRowFormula>
    </tableColumn>
    <tableColumn id="94" xr3:uid="{73BAB3D4-5375-1246-9E6A-2A0B4994EC3C}" name="PW2" totalsRowFunction="custom" dataDxfId="1452" totalsRowDxfId="879" dataCellStyle="Comma">
      <totalsRowFormula>COUNT(TabReg[PW2])</totalsRowFormula>
    </tableColumn>
    <tableColumn id="95" xr3:uid="{62667957-E2C9-3A47-8AEA-85E8FB7BF330}" name="RIGL" totalsRowFunction="custom" dataDxfId="1451" totalsRowDxfId="878">
      <totalsRowFormula>COUNT(TabReg[RIGL])</totalsRowFormula>
    </tableColumn>
    <tableColumn id="96" xr3:uid="{8F4D9886-9333-4148-B2C7-5C81493AE4BD}" name="RIGL1" totalsRowFunction="custom" dataDxfId="1450" totalsRowDxfId="877" dataCellStyle="Comma">
      <totalsRowFormula>COUNT(TabReg[RIGL1])</totalsRowFormula>
    </tableColumn>
    <tableColumn id="97" xr3:uid="{680094D7-06F8-524C-BA76-746BA0D1D205}" name="RIGL2" totalsRowFunction="custom" dataDxfId="1449" totalsRowDxfId="876" dataCellStyle="Comma">
      <totalsRowFormula>COUNT(TabReg[RIGL2])</totalsRowFormula>
    </tableColumn>
    <tableColumn id="98" xr3:uid="{D886DD55-C3E7-634E-8462-B3FD2D56434A}" name="RWE" totalsRowFunction="custom" dataDxfId="1448" totalsRowDxfId="875">
      <totalsRowFormula>COUNT(TabReg[RWE])</totalsRowFormula>
    </tableColumn>
    <tableColumn id="99" xr3:uid="{0A4DDF35-0DBD-7440-B2AE-2C35740FECF2}" name="RWE1" totalsRowFunction="custom" dataDxfId="1447" totalsRowDxfId="874" dataCellStyle="Comma">
      <totalsRowFormula>COUNT(TabReg[RWE1])</totalsRowFormula>
    </tableColumn>
    <tableColumn id="100" xr3:uid="{6A68AE46-0376-A040-8013-9EF9BEF52B13}" name="RWE2" totalsRowFunction="custom" dataDxfId="1446" totalsRowDxfId="873" dataCellStyle="Comma">
      <totalsRowFormula>COUNT(TabReg[RWE2])</totalsRowFormula>
    </tableColumn>
    <tableColumn id="185" xr3:uid="{DE00E83F-2920-024F-B423-12D5FAE83151}" name="SAP" totalsRowFunction="custom" dataDxfId="1445" totalsRowDxfId="872">
      <totalsRowFormula>COUNT(TabReg[SAP])</totalsRowFormula>
    </tableColumn>
    <tableColumn id="186" xr3:uid="{3F10E388-7AB3-E043-80E3-1DED6BD713F1}" name="SAP1" totalsRowFunction="custom" dataDxfId="1444" totalsRowDxfId="871" dataCellStyle="Comma">
      <totalsRowFormula>COUNT(TabReg[SAP1])</totalsRowFormula>
    </tableColumn>
    <tableColumn id="187" xr3:uid="{E8D0D7A6-83F5-A64B-96E4-6B51993BBD00}" name="SAP2" totalsRowFunction="custom" dataDxfId="1443" totalsRowDxfId="870">
      <totalsRowFormula>COUNT(TabReg[SAP2])</totalsRowFormula>
    </tableColumn>
    <tableColumn id="188" xr3:uid="{C8262558-0B27-4A44-BF9A-0898AD5C5095}" name="SHECY" totalsRowFunction="custom" dataDxfId="1442" totalsRowDxfId="869">
      <totalsRowFormula>COUNT(TabReg[SHECY])</totalsRowFormula>
    </tableColumn>
    <tableColumn id="189" xr3:uid="{2C6CC351-BB1F-AA4A-860C-3C1D2C50A4FC}" name="SHECY1" totalsRowFunction="custom" dataDxfId="1441" totalsRowDxfId="868" dataCellStyle="Comma">
      <totalsRowFormula>COUNT(TabReg[SHECY1])</totalsRowFormula>
    </tableColumn>
    <tableColumn id="190" xr3:uid="{98889618-47DC-2149-B0F2-6618201B43B0}" name="SHECY2" totalsRowFunction="custom" dataDxfId="1440" totalsRowDxfId="867">
      <totalsRowFormula>COUNT(TabReg[SHECY2])</totalsRowFormula>
    </tableColumn>
    <tableColumn id="101" xr3:uid="{521C5459-0F23-5347-9B6A-EDC0A3E3BC25}" name="SSYS" totalsRowFunction="custom" dataDxfId="1439" totalsRowDxfId="866">
      <totalsRowFormula>COUNT(TabReg[SSYS])</totalsRowFormula>
    </tableColumn>
    <tableColumn id="102" xr3:uid="{6FB8136B-6631-984D-9D04-2A5E527DD95D}" name="SSYS1" totalsRowFunction="custom" dataDxfId="1438" totalsRowDxfId="865" dataCellStyle="Comma">
      <totalsRowFormula>COUNT(TabReg[SSYS1])</totalsRowFormula>
    </tableColumn>
    <tableColumn id="103" xr3:uid="{913E48BF-4356-634C-ADC3-621D146F4A17}" name="SSYS2" totalsRowFunction="custom" dataDxfId="1437" totalsRowDxfId="864" dataCellStyle="Comma">
      <totalsRowFormula>COUNT(TabReg[SSYS2])</totalsRowFormula>
    </tableColumn>
    <tableColumn id="104" xr3:uid="{2456B9BF-4D21-D54C-A793-6973577C34DE}" name="TSLA" totalsRowFunction="custom" dataDxfId="1436" totalsRowDxfId="863">
      <totalsRowFormula>COUNT(TabReg[TSLA])</totalsRowFormula>
    </tableColumn>
    <tableColumn id="105" xr3:uid="{B8E3C6CF-2410-9448-99CC-EA470C412ADB}" name="TSLA1" totalsRowFunction="custom" dataDxfId="1435" totalsRowDxfId="862" dataCellStyle="Comma">
      <totalsRowFormula>COUNT(TabReg[TSLA1])</totalsRowFormula>
    </tableColumn>
    <tableColumn id="106" xr3:uid="{6DABB6B4-568C-E242-BA9A-66B1823D06FB}" name="TSLA2" totalsRowFunction="custom" dataDxfId="1434" totalsRowDxfId="861" dataCellStyle="Comma">
      <totalsRowFormula>COUNT(TabReg[TSLA2])</totalsRowFormula>
    </tableColumn>
    <tableColumn id="107" xr3:uid="{7B18E74E-1F96-DE49-A713-7E8C042E7F88}" name="TSM" totalsRowFunction="custom" dataDxfId="1433" totalsRowDxfId="860">
      <totalsRowFormula>COUNT(TabReg[TSM])</totalsRowFormula>
    </tableColumn>
    <tableColumn id="108" xr3:uid="{D12190D1-9044-9141-ADD8-0871FA1688C0}" name="TSM1" totalsRowFunction="custom" dataDxfId="1432" totalsRowDxfId="859" dataCellStyle="Comma">
      <totalsRowFormula>COUNT(TabReg[TSM1])</totalsRowFormula>
    </tableColumn>
    <tableColumn id="109" xr3:uid="{1B66B6A6-B718-8F42-98E0-CD76F0D5A829}" name="TSM2" totalsRowFunction="custom" dataDxfId="1431" totalsRowDxfId="858" dataCellStyle="Comma">
      <totalsRowFormula>COUNT(TabReg[TSM2])</totalsRowFormula>
    </tableColumn>
    <tableColumn id="110" xr3:uid="{1A945ACE-273D-734A-8C83-77BB5E8319BD}" name="UN0" totalsRowFunction="custom" dataDxfId="1430" totalsRowDxfId="857">
      <totalsRowFormula>COUNT(TabReg[UN0])</totalsRowFormula>
    </tableColumn>
    <tableColumn id="111" xr3:uid="{3DA9E56D-F97D-F74D-9B25-778FFC4532B6}" name="UN01" totalsRowFunction="custom" dataDxfId="1429" totalsRowDxfId="856" dataCellStyle="Comma">
      <totalsRowFormula>COUNT(TabReg[UN01])</totalsRowFormula>
    </tableColumn>
    <tableColumn id="112" xr3:uid="{D83DF0EE-56BB-804E-88D8-BCDE3B64BC7E}" name="UN02" totalsRowFunction="custom" dataDxfId="1428" totalsRowDxfId="855" dataCellStyle="Comma">
      <totalsRowFormula>COUNT(TabReg[UN02])</totalsRowFormula>
    </tableColumn>
    <tableColumn id="113" xr3:uid="{AB6DA1FE-83BC-8C44-AE28-39191AE0A338}" name="UNIT" totalsRowFunction="custom" dataDxfId="1427" totalsRowDxfId="854">
      <totalsRowFormula>COUNT(TabReg[UNIT])</totalsRowFormula>
    </tableColumn>
    <tableColumn id="114" xr3:uid="{C4F3FB31-D6F1-2447-8736-7372F6D4C91C}" name="UNIT1" totalsRowFunction="custom" dataDxfId="1426" totalsRowDxfId="853" dataCellStyle="Comma">
      <totalsRowFormula>COUNT(TabReg[UNIT1])</totalsRowFormula>
    </tableColumn>
    <tableColumn id="115" xr3:uid="{AB5F6294-8139-4A49-8631-32C384FB1DBC}" name="UNIT2" totalsRowFunction="custom" dataDxfId="1425" totalsRowDxfId="852" dataCellStyle="Comma">
      <totalsRowFormula>COUNT(TabReg[UNIT2])</totalsRowFormula>
    </tableColumn>
    <tableColumn id="191" xr3:uid="{AD95F93D-62BB-8646-881A-FDCF1F4203E3}" name="AVGO" totalsRowFunction="custom" dataDxfId="1424" totalsRowDxfId="851">
      <totalsRowFormula>COUNT(TabReg[AVGO])</totalsRowFormula>
    </tableColumn>
    <tableColumn id="192" xr3:uid="{751C8CA5-9FC6-6144-8379-1FF0AC9B4A7C}" name="AVGO1" totalsRowFunction="custom" dataDxfId="1423" totalsRowDxfId="850" dataCellStyle="Comma">
      <totalsRowFormula>COUNT(TabReg[AVGO1])</totalsRowFormula>
    </tableColumn>
    <tableColumn id="193" xr3:uid="{37F82F33-F30B-EA48-B816-29C8A5F9F7B9}" name="AVGO2" totalsRowFunction="custom" dataDxfId="1422" totalsRowDxfId="849">
      <totalsRowFormula>COUNT(TabReg[AVGO2])</totalsRowFormula>
    </tableColumn>
    <tableColumn id="233" xr3:uid="{5C4BF384-1740-CB49-8025-B346D90C0917}" name="VLVLY" totalsRowFunction="custom" dataDxfId="1421" totalsRowDxfId="848">
      <totalsRowFormula>COUNT(TabReg[VLVLY])</totalsRowFormula>
    </tableColumn>
    <tableColumn id="234" xr3:uid="{6B24C139-13D4-CD4F-AA1F-A361E6F76F4F}" name="VLVLY1" totalsRowFunction="custom" dataDxfId="1420" totalsRowDxfId="847" dataCellStyle="Comma">
      <totalsRowFormula>COUNT(TabReg[VLVLY1])</totalsRowFormula>
    </tableColumn>
    <tableColumn id="235" xr3:uid="{12493D9D-4297-CF46-B66F-1559E8FB14BE}" name="VLVLY2" totalsRowFunction="custom" dataDxfId="1419" totalsRowDxfId="846">
      <totalsRowFormula>COUNT(TabReg[VLVLY2])</totalsRowFormula>
    </tableColumn>
    <tableColumn id="236" xr3:uid="{7E0EDE3A-36BF-2B41-B80B-CC97CAEA7DE6}" name="VONN" totalsRowFunction="custom" dataDxfId="1418" totalsRowDxfId="845">
      <totalsRowFormula>COUNT(TabReg[VONN])</totalsRowFormula>
    </tableColumn>
    <tableColumn id="237" xr3:uid="{8B33F160-B82A-B345-A971-DA3D869687B4}" name="VONN1" totalsRowFunction="custom" dataDxfId="1417" totalsRowDxfId="844" dataCellStyle="Comma">
      <totalsRowFormula>COUNT(TabReg[VONN1])</totalsRowFormula>
    </tableColumn>
    <tableColumn id="238" xr3:uid="{8182C875-990C-F64B-9F13-C9023F898A5D}" name="VONN2" totalsRowFunction="custom" dataDxfId="1416" totalsRowDxfId="843" dataCellStyle="Comma">
      <totalsRowFormula>COUNT(TabReg[VONN2])</totalsRowFormula>
    </tableColumn>
    <tableColumn id="116" xr3:uid="{EAFA0E97-DD26-2746-8568-280408AB6E0E}" name="VTRS" totalsRowFunction="custom" dataDxfId="1415" totalsRowDxfId="842">
      <totalsRowFormula>COUNT(TabReg[VTRS])</totalsRowFormula>
    </tableColumn>
    <tableColumn id="117" xr3:uid="{F4925C9A-0EA1-854B-9D01-DD31D1925353}" name="VTRS1" totalsRowFunction="custom" dataDxfId="1414" totalsRowDxfId="841" dataCellStyle="Comma">
      <totalsRowFormula>COUNT(TabReg[VTRS1])</totalsRowFormula>
    </tableColumn>
    <tableColumn id="118" xr3:uid="{FDD4CF08-9B2E-2740-B044-F3F004164CAB}" name="VTRS2" totalsRowFunction="custom" dataDxfId="1413" totalsRowDxfId="840" dataCellStyle="Comma">
      <totalsRowFormula>COUNT(TabReg[VTRS2])</totalsRowFormula>
    </tableColumn>
    <tableColumn id="119" xr3:uid="{FC06DF00-5468-524C-8EDC-8EEF915AA6FD}" name="WBA" totalsRowFunction="custom" dataDxfId="1412" totalsRowDxfId="839">
      <totalsRowFormula>COUNT(TabReg[WBA])</totalsRowFormula>
    </tableColumn>
    <tableColumn id="120" xr3:uid="{D5C360EB-B8B1-A741-B40E-C08576251C87}" name="WBA1" totalsRowFunction="custom" dataDxfId="1411" totalsRowDxfId="838" dataCellStyle="Comma">
      <totalsRowFormula>COUNT(TabReg[WBA1])</totalsRowFormula>
    </tableColumn>
    <tableColumn id="121" xr3:uid="{39CEDF0B-E2E3-E448-9E9B-A947524DF97B}" name="WBA2" totalsRowFunction="custom" dataDxfId="1410" totalsRowDxfId="837" dataCellStyle="Comma">
      <totalsRowFormula>COUNT(TabReg[WBA2])</totalsRowFormula>
    </tableColumn>
    <tableColumn id="122" xr3:uid="{51611324-95E2-7A49-B281-67A46FC8D674}" name="XOM" totalsRowFunction="custom" dataDxfId="1409" totalsRowDxfId="836">
      <totalsRowFormula>COUNT(TabReg[XOM])</totalsRowFormula>
    </tableColumn>
    <tableColumn id="123" xr3:uid="{13422B36-F155-B840-B2CF-B05574FDF663}" name="XOM1" totalsRowFunction="custom" dataDxfId="1408" totalsRowDxfId="835" dataCellStyle="Comma">
      <totalsRowFormula>COUNT(TabReg[XOM1])</totalsRowFormula>
    </tableColumn>
    <tableColumn id="124" xr3:uid="{764EB640-E02A-5C4B-8207-C8D40970E5C7}" name="XOM2" totalsRowFunction="custom" dataDxfId="1407" totalsRowDxfId="834" dataCellStyle="Comma">
      <totalsRowFormula>COUNT(TabReg[XOM2])</totalsRowFormula>
    </tableColumn>
    <tableColumn id="125" xr3:uid="{2E708A98-1149-AD42-A6A9-5C9860AA9242}" name="XPER" totalsRowFunction="custom" dataDxfId="1406" totalsRowDxfId="833">
      <totalsRowFormula>COUNT(TabReg[XPER])</totalsRowFormula>
    </tableColumn>
    <tableColumn id="126" xr3:uid="{93528364-BF0F-7144-A219-2BB9427F4E0B}" name="XPER1" totalsRowFunction="custom" dataDxfId="1405" totalsRowDxfId="832" dataCellStyle="Comma">
      <totalsRowFormula>COUNT(TabReg[XPER1])</totalsRowFormula>
    </tableColumn>
    <tableColumn id="127" xr3:uid="{6FA0AB33-2B74-8741-86CE-5DD24EAFB0AE}" name="XPER2" totalsRowFunction="custom" dataDxfId="1404" totalsRowDxfId="831" dataCellStyle="Comma">
      <totalsRowFormula>COUNT(TabReg[XPER2])</totalsRowFormula>
    </tableColumn>
    <tableColumn id="128" xr3:uid="{C486E5C1-6BEC-8C4B-86D1-C3E8153030D4}" name="MVEALDNE" totalsRowFunction="custom" dataDxfId="1403" totalsRowDxfId="830">
      <totalsRowFormula>COUNT(TabReg[MVEALDNE])</totalsRowFormula>
    </tableColumn>
    <tableColumn id="129" xr3:uid="{3FB451E6-2946-8040-A85E-6B646D511A9C}" name="MVEALDNE1" totalsRowFunction="custom" dataDxfId="1402" totalsRowDxfId="829" dataCellStyle="Comma">
      <totalsRowFormula>COUNT(TabReg[MVEALDNE1])</totalsRowFormula>
    </tableColumn>
    <tableColumn id="130" xr3:uid="{626584AD-E5BE-944D-BE1F-698427DA51F7}" name="MVEALDNE2" totalsRowFunction="custom" dataDxfId="1401" totalsRowDxfId="828" dataCellStyle="Comma">
      <totalsRowFormula>COUNT(TabReg[MVEALDNE2])</totalsRowFormula>
    </tableColumn>
    <tableCo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F-936E-47C954B63F35}" name="MVEDDD1" totalsRowFunction="custom" dataDxfId="1399" totalsRowDxfId="826" dataCellStyle="Comma">
      <totalsRowFormula>COUNT(TabReg[MVEDDD1])</totalsRowFormula>
    </tableColumn>
    <tableColumn id="133" xr3:uid="{7120DB8C-7514-FA48-A08E-5B247085EBF9}" name="MVEDDD2" totalsRowFunction="custom" dataDxfId="1398" totalsRowDxfId="825" dataCellStyle="Comma">
      <totalsRowFormula>COUNT(TabReg[MVEDDD2])</totalsRowFormula>
    </tableColumn>
    <tableColumn id="134" xr3:uid="{2FD8B1C9-64F0-584A-A7F0-676B72893EB0}" name="MVEDSY" totalsRowFunction="custom" dataDxfId="1397" totalsRowDxfId="824">
      <totalsRowFormula>COUNT(TabReg[MVEDSY])</totalsRowFormula>
    </tableColumn>
    <tableColumn id="135" xr3:uid="{D76DA24F-4421-F847-B121-A8F4A193BD82}" name="MVEDSY1" totalsRowFunction="custom" dataDxfId="1396" totalsRowDxfId="823" dataCellStyle="Comma">
      <totalsRowFormula>COUNT(TabReg[MVEDSY1])</totalsRowFormula>
    </tableColumn>
    <tableColumn id="136" xr3:uid="{396A0ECB-755E-104D-A8E3-7A5B2AE7C6EA}" name="MVEDSY2" totalsRowFunction="custom" dataDxfId="1395" totalsRowDxfId="822" dataCellStyle="Comma">
      <totalsRowFormula>COUNT(TabReg[MVEDSY2])</totalsRowFormula>
    </tableColumn>
    <tableColumn id="137" xr3:uid="{2C0B4D1E-F3B5-484A-9C4B-65760000E495}" name="MVEEOAN" totalsRowFunction="custom" dataDxfId="1394" totalsRowDxfId="821">
      <totalsRowFormula>COUNT(TabReg[MVEEOAN])</totalsRowFormula>
    </tableColumn>
    <tableColumn id="138" xr3:uid="{1FF1B771-C944-A04A-B9B9-0F3D9C680168}" name="MVEEOAN1" totalsRowFunction="custom" dataDxfId="1393" totalsRowDxfId="820" dataCellStyle="Comma">
      <totalsRowFormula>COUNT(TabReg[MVEEOAN1])</totalsRowFormula>
    </tableColumn>
    <tableColumn id="139" xr3:uid="{66A5709F-8CE1-C54D-A79D-76E0054D3090}" name="MVEEOAN2" totalsRowFunction="custom" dataDxfId="1392" totalsRowDxfId="819" dataCellStyle="Comma">
      <totalsRowFormula>COUNT(TabReg[MVEEOAN2])</totalsRowFormula>
    </tableColumn>
    <tableColumn id="140" xr3:uid="{6631A4B3-359A-FC4A-ADBD-0EC86E90A804}" name="MVEENI" totalsRowFunction="custom" dataDxfId="1391" totalsRowDxfId="818">
      <totalsRowFormula>COUNT(TabReg[MVEENI])</totalsRowFormula>
    </tableColumn>
    <tableColumn id="141" xr3:uid="{A95026D5-E0DE-2C40-B806-896DAD5080B2}" name="MVEENI1" totalsRowFunction="custom" dataDxfId="1390" totalsRowDxfId="817" dataCellStyle="Comma">
      <totalsRowFormula>COUNT(TabReg[MVEENI1])</totalsRowFormula>
    </tableColumn>
    <tableColumn id="142" xr3:uid="{F8B96B9E-4850-7843-AD4B-6B4E2A697D2B}" name="MVEENI2" totalsRowFunction="custom" dataDxfId="1389" totalsRowDxfId="816" dataCellStyle="Comma">
      <totalsRowFormula>COUNT(TabReg[MVEENI2])</totalsRowFormula>
    </tableColumn>
    <tableColumn id="143" xr3:uid="{10AC4A37-9481-6542-84E4-55D1CA14160D}" name="MVEEPIX" totalsRowFunction="custom" dataDxfId="1388" totalsRowDxfId="815">
      <totalsRowFormula>COUNT(TabReg[MVEEPIX])</totalsRowFormula>
    </tableColumn>
    <tableColumn id="144" xr3:uid="{299E26EE-7492-CC43-869A-F15EBBF8E46C}" name="MVEEPIX1" totalsRowFunction="custom" dataDxfId="1387" totalsRowDxfId="814" dataCellStyle="Comma">
      <totalsRowFormula>COUNT(TabReg[MVEEPIX1])</totalsRowFormula>
    </tableColumn>
    <tableColumn id="145" xr3:uid="{C8D192BC-03B4-D644-8664-CCB8652B8687}" name="MVEEPIX2" totalsRowFunction="custom" dataDxfId="1386" totalsRowDxfId="813" dataCellStyle="Comma">
      <totalsRowFormula>COUNT(TabReg[MVEEPIX2])</totalsRowFormula>
    </tableColumn>
    <tableColumn id="146" xr3:uid="{798AB43E-D927-AA4A-952C-C7A4EED1515C}" name="MVEGLE" totalsRowFunction="custom" dataDxfId="1385" totalsRowDxfId="812">
      <totalsRowFormula>COUNT(TabReg[MVEGLE])</totalsRowFormula>
    </tableColumn>
    <tableColumn id="147" xr3:uid="{29D52BAD-01AC-9843-99E2-108D85712955}" name="MVEGLE1" totalsRowFunction="custom" dataDxfId="1384" totalsRowDxfId="811" dataCellStyle="Comma">
      <totalsRowFormula>COUNT(TabReg[MVEGLE1])</totalsRowFormula>
    </tableColumn>
    <tableColumn id="148" xr3:uid="{91A1A354-6935-214C-B655-6FA5D05B6148}" name="MVEGLE2" totalsRowFunction="custom" dataDxfId="1383" totalsRowDxfId="810" dataCellStyle="Comma">
      <totalsRowFormula>COUNT(TabReg[MVEGLE2])</totalsRowFormula>
    </tableColumn>
    <tableColumn id="149" xr3:uid="{63EC1406-ED3D-7248-BC5E-B3891B5F1C34}" name="MVEORA" totalsRowFunction="custom" dataDxfId="1382" totalsRowDxfId="809">
      <totalsRowFormula>COUNT(TabReg[MVEORA])</totalsRowFormula>
    </tableColumn>
    <tableColumn id="150" xr3:uid="{BD96D106-F762-CA4F-9926-DCA72A4EFCF8}" name="MVEORA1" totalsRowFunction="custom" dataDxfId="1381" totalsRowDxfId="808" dataCellStyle="Comma">
      <totalsRowFormula>COUNT(TabReg[MVEORA1])</totalsRowFormula>
    </tableColumn>
    <tableColumn id="151" xr3:uid="{6F6EEB8A-4418-9F48-B010-D1102DED03E8}" name="MVEORA2" totalsRowFunction="custom" dataDxfId="1380" totalsRowDxfId="807" dataCellStyle="Comma">
      <totalsRowFormula>COUNT(TabReg[MVEORA2])</totalsRowFormula>
    </tableColumn>
    <tableColumn id="152" xr3:uid="{08AF805C-499B-CA44-8B1B-09DDD9BDDA89}" name="MVERWE" totalsRowFunction="custom" dataDxfId="1379" totalsRowDxfId="806">
      <totalsRowFormula>COUNT(TabReg[MVERWE])</totalsRowFormula>
    </tableColumn>
    <tableColumn id="153" xr3:uid="{73DE675B-333C-8042-A051-7C22080AA480}" name="MVERWE1" totalsRowFunction="custom" dataDxfId="1378" totalsRowDxfId="805" dataCellStyle="Comma">
      <totalsRowFormula>COUNT(TabReg[MVERWE1])</totalsRowFormula>
    </tableColumn>
    <tableColumn id="154" xr3:uid="{3F90A3E1-83FC-5F43-9DEE-1A1BF3455758}" name="MVERWE2" totalsRowFunction="custom" dataDxfId="1377" totalsRowDxfId="804" dataCellStyle="Comma">
      <totalsRowFormula>COUNT(TabReg[MVERWE2])</totalsRowFormula>
    </tableColumn>
    <tableColumn id="155" xr3:uid="{E9F565FB-317B-7B48-8D94-56DBC6AB96D8}" name="MVESAP" totalsRowFunction="custom" dataDxfId="1376" totalsRowDxfId="803">
      <totalsRowFormula>COUNT(TabReg[MVESAP])</totalsRowFormula>
    </tableColumn>
    <tableColumn id="156" xr3:uid="{877F9E2B-72C9-1D43-8E9B-7585F3B9C5A8}" name="MVESAP1" totalsRowFunction="custom" dataDxfId="1375" totalsRowDxfId="802" dataCellStyle="Comma">
      <totalsRowFormula>COUNT(TabReg[MVESAP1])</totalsRowFormula>
    </tableColumn>
    <tableColumn id="157" xr3:uid="{095D7B94-97D5-F04F-8693-4C0766693B3D}" name="MVESAP2" totalsRowFunction="custom" dataDxfId="1374" totalsRowDxfId="801" dataCellStyle="Comma">
      <totalsRowFormula>COUNT(TabReg[MVESAP2])</totalsRowFormula>
    </tableColumn>
    <tableColumn id="158" xr3:uid="{6DAC9D38-B756-EA4C-9F7A-8677964ECEE7}" name="MVEUN0" totalsRowFunction="custom" dataDxfId="1373" totalsRowDxfId="800">
      <totalsRowFormula>COUNT(TabReg[MVEUN0])</totalsRowFormula>
    </tableColumn>
    <tableColumn id="159" xr3:uid="{A8EC8BAE-FF6E-2249-9250-9AA033F9ED29}" name="MVEUN01" totalsRowFunction="custom" dataDxfId="1372" totalsRowDxfId="799" dataCellStyle="Comma">
      <totalsRowFormula>COUNT(TabReg[MVEUN01])</totalsRowFormula>
    </tableColumn>
    <tableColumn id="160" xr3:uid="{F612F125-1D81-1E44-874A-33914890A832}" name="MVEUN02" totalsRowFunction="custom" dataDxfId="1371" totalsRowDxfId="798" dataCellStyle="Comma">
      <totalsRowFormula>COUNT(TabReg[MVEUN02])</totalsRowFormula>
    </tableColumn>
    <tableColumn id="245" xr3:uid="{87DB3F20-52D6-CA4E-88EA-60775FA48471}" name="SAFAAPL" totalsRowFunction="custom" dataDxfId="1370" totalsRowDxfId="797">
      <totalsRowFormula>COUNT(TabReg[SAFAAPL])</totalsRowFormula>
    </tableColumn>
    <tableColumn id="246" xr3:uid="{20517EE6-352A-AD43-8441-3441B61C1D89}" name="SAFAAPL1" totalsRowFunction="custom" dataDxfId="1369" totalsRowDxfId="796" dataCellStyle="Comma">
      <totalsRowFormula>COUNT(TabReg[SAFAAPL1])</totalsRowFormula>
    </tableColumn>
    <tableColumn id="247" xr3:uid="{3C4F3F09-49B3-EA48-ABFA-662F1DB33DA3}" name="SAFAAPL2" totalsRowFunction="custom" dataDxfId="1368" totalsRowDxfId="795">
      <totalsRowFormula>COUNT(TabReg[SAFAAPL2])</totalsRowFormula>
    </tableColumn>
    <tableColumn id="248" xr3:uid="{AABFB2F9-1399-A74B-9F06-69E103AFB9CD}" name="SAFAMZN" totalsRowFunction="custom" dataDxfId="1367" totalsRowDxfId="794">
      <totalsRowFormula>COUNT(TabReg[SAFAMZN])</totalsRowFormula>
    </tableColumn>
    <tableColumn id="249" xr3:uid="{D38CCD21-85E7-5243-8853-685BFE452284}" name="SAFAMZN1" totalsRowFunction="custom" dataDxfId="1366" totalsRowDxfId="793" dataCellStyle="Comma">
      <totalsRowFormula>COUNT(TabReg[SAFAMZN1])</totalsRowFormula>
    </tableColumn>
    <tableColumn id="250" xr3:uid="{E22F61D9-4EB0-B94C-8F20-A63DF62D6B14}" name="SAFAMZN2" totalsRowFunction="custom" dataDxfId="1365" totalsRowDxfId="792">
      <totalsRowFormula>COUNT(TabReg[SAFAMZN2])</totalsRowFormula>
    </tableColumn>
    <tableColumn id="251" xr3:uid="{F25F604C-FECA-CA4F-B82A-F2731B9AB9E2}" name="SAFASML" totalsRowFunction="custom" dataDxfId="1364" totalsRowDxfId="791">
      <totalsRowFormula>COUNT(TabReg[SAFASML])</totalsRowFormula>
    </tableColumn>
    <tableColumn id="252" xr3:uid="{30ACA57E-5B73-3341-B584-158624B040E3}" name="SAFASML1" totalsRowFunction="custom" dataDxfId="1363" totalsRowDxfId="790" dataCellStyle="Comma">
      <totalsRowFormula>COUNT(TabReg[SAFASML1])</totalsRowFormula>
    </tableColumn>
    <tableColumn id="253" xr3:uid="{20ED69C9-1D65-6341-8E2D-F366D2B2C54B}" name="SAFASML2" totalsRowFunction="custom" dataDxfId="1362" totalsRowDxfId="789">
      <totalsRowFormula>COUNT(TabReg[SAFASML2])</totalsRowFormula>
    </tableColumn>
    <tableColumn id="254" xr3:uid="{2C63720C-5818-4944-BDB8-32411EDB5BB5}" name="SAFDDD" totalsRowFunction="custom" dataDxfId="1361" totalsRowDxfId="788">
      <totalsRowFormula>COUNT(TabReg[SAFDDD])</totalsRowFormula>
    </tableColumn>
    <tableColumn id="255" xr3:uid="{D31C2829-AC58-5245-9282-3889257E506D}" name="SAFDDD1" totalsRowFunction="custom" dataDxfId="1360" totalsRowDxfId="787" dataCellStyle="Comma">
      <totalsRowFormula>COUNT(TabReg[SAFDDD1])</totalsRowFormula>
    </tableColumn>
    <tableColumn id="256" xr3:uid="{E7DF0399-71E8-B642-B9E4-D0FDA4593657}" name="SAFDDD2" totalsRowFunction="custom" dataDxfId="1359" totalsRowDxfId="786">
      <totalsRowFormula>COUNT(TabReg[SAFDDD2])</totalsRowFormula>
    </tableColumn>
    <tableColumn id="194" xr3:uid="{F93F1814-DD60-0A4E-8EA3-934D7D95DB83}" name="SAFDIS" totalsRowFunction="custom" dataDxfId="1358" totalsRowDxfId="785">
      <totalsRowFormula>COUNT(TabReg[SAFDIS])</totalsRowFormula>
    </tableColumn>
    <tableColumn id="195" xr3:uid="{A22E8D43-4FB7-1445-8926-DD20EC462EE2}" name="SAFDIS1" totalsRowFunction="custom" dataDxfId="1357" totalsRowDxfId="784" dataCellStyle="Comma">
      <totalsRowFormula>COUNT(TabReg[SAFDIS1])</totalsRowFormula>
    </tableColumn>
    <tableColumn id="196" xr3:uid="{730E80A0-73EA-F14F-B023-90418CB7FF94}" name="SAFDIS2" totalsRowFunction="custom" dataDxfId="1356" totalsRowDxfId="783" dataCellStyle="Comma">
      <totalsRowFormula>COUNT(TabReg[SAFDIS2])</totalsRowFormula>
    </tableColumn>
    <tableColumn id="197" xr3:uid="{6EBEAD56-C7F4-BE4A-B558-A5F2DBB0CE46}" name="SAFGM" totalsRowFunction="custom" dataDxfId="1355" totalsRowDxfId="782">
      <totalsRowFormula>COUNT(TabReg[SAFGM])</totalsRowFormula>
    </tableColumn>
    <tableColumn id="198" xr3:uid="{8550DAEC-2C07-FC46-A369-CE27ACA32089}" name="SAFGM1" totalsRowFunction="custom" dataDxfId="1354" totalsRowDxfId="781" dataCellStyle="Comma">
      <totalsRowFormula>COUNT(TabReg[SAFGM1])</totalsRowFormula>
    </tableColumn>
    <tableColumn id="199" xr3:uid="{076EBF9E-377C-F747-82A7-FA7768DD8DC4}" name="SAFGM2" totalsRowFunction="custom" dataDxfId="1353" totalsRowDxfId="780" dataCellStyle="Comma">
      <totalsRowFormula>COUNT(TabReg[SAFGM2])</totalsRowFormula>
    </tableColumn>
    <tableColumn id="200" xr3:uid="{735B8A44-120B-FF4C-AAEF-AFACB3D9DFCF}" name="SAFIAG" totalsRowFunction="custom" dataDxfId="1352" totalsRowDxfId="779">
      <totalsRowFormula>COUNT(TabReg[SAFIAG])</totalsRowFormula>
    </tableColumn>
    <tableColumn id="201" xr3:uid="{A329D987-F158-744A-9A1D-8059162935DD}" name="SAFIAG1" totalsRowFunction="custom" dataDxfId="1351" totalsRowDxfId="778" dataCellStyle="Comma">
      <totalsRowFormula>COUNT(TabReg[SAFIAG1])</totalsRowFormula>
    </tableColumn>
    <tableColumn id="296" xr3:uid="{CA00107A-3584-4E4D-9727-9DD9D29E985C}" name="SAFIAG2" totalsRowFunction="custom" dataDxfId="1350" totalsRowDxfId="777" dataCellStyle="Comma">
      <totalsRowFormula>COUNT(TabReg[SAFIAG2])</totalsRowFormula>
    </tableColumn>
    <tableColumn id="297" xr3:uid="{C33A51F9-76AA-7E4A-8F99-9984D22DF038}" name="SAFMRNA" totalsRowFunction="custom" dataDxfId="1349" totalsRowDxfId="776" dataCellStyle="Comma">
      <totalsRowFormula>COUNT(TabReg[SAFMRNA])</totalsRowFormula>
    </tableColumn>
    <tableColumn id="298" xr3:uid="{38EAE1F2-CCA3-2243-8FA9-8C83A7C2E83E}" name="SAFMRNA1" totalsRowFunction="custom" dataDxfId="1348" totalsRowDxfId="775" dataCellStyle="Comma">
      <totalsRowFormula>COUNT(TabReg[SAFMRNA1])</totalsRowFormula>
    </tableColumn>
    <tableColumn id="202" xr3:uid="{58031338-9EAE-DB42-B765-E2B6B518A683}" name="SAFMRNA2" totalsRowFunction="custom" dataDxfId="1347" totalsRowDxfId="774" dataCellStyle="Comma">
      <totalsRowFormula>COUNT(TabReg[SAFMRNA2])</totalsRowFormula>
    </tableColumn>
    <tableColumn id="299" xr3:uid="{4C1E3C38-AA96-C24E-95A1-3B57744A500F}" name="BLNK" totalsRowFunction="custom" dataDxfId="1346" totalsRowDxfId="773">
      <totalsRowFormula>COUNT(TabReg[BLNK])</totalsRowFormula>
    </tableColumn>
    <tableColumn id="300" xr3:uid="{023BBB79-E8CA-254F-9A5F-6769DEF86DEB}" name="BLNK1" totalsRowFunction="custom" dataDxfId="1345" totalsRowDxfId="772" dataCellStyle="Comma">
      <totalsRowFormula>COUNT(TabReg[BLNK1])</totalsRowFormula>
    </tableColumn>
    <tableColumn id="301" xr3:uid="{8FF7052C-5BC8-6246-B336-C9608EE0C4D8}" name="BLNK2" totalsRowFunction="custom" dataDxfId="1344" totalsRowDxfId="771" dataCellStyle="Comma">
      <totalsRowFormula>COUNT(TabReg[BLNK2])</totalsRowFormula>
    </tableColumn>
    <tableColumn id="203" xr3:uid="{5146FD2A-2827-254E-AC2D-0ACF26A0C74F}" name="ENI" totalsRowFunction="custom" dataDxfId="1343" totalsRowDxfId="770">
      <totalsRowFormula>COUNT(TabReg[ENI])</totalsRowFormula>
    </tableColumn>
    <tableColumn id="204" xr3:uid="{6DC93B63-70C5-4745-A0E8-9B1894B72882}" name="ENI1" totalsRowFunction="custom" dataDxfId="1342" totalsRowDxfId="769" dataCellStyle="Comma">
      <totalsRowFormula>COUNT(TabReg[ENI1])</totalsRowFormula>
    </tableColumn>
    <tableColumn id="205" xr3:uid="{1586E4F1-AF55-7943-9C5C-6F56BC0D13FB}" name="ENI2" totalsRowFunction="custom" dataDxfId="1341" totalsRowDxfId="768" dataCellStyle="Comma">
      <totalsRowFormula>COUNT(TabReg[ENI2])</totalsRowFormula>
    </tableColumn>
    <tableColumn id="206" xr3:uid="{F90D6620-764A-014D-8E1D-2C110AC0BDCF}" name="EZJ" totalsRowFunction="custom" dataDxfId="1340" totalsRowDxfId="767">
      <totalsRowFormula>COUNT(TabReg[EZJ])</totalsRowFormula>
    </tableColumn>
    <tableColumn id="207" xr3:uid="{AEF036D2-CA8D-5244-B754-038CD142E280}" name="EZJ1" totalsRowFunction="custom" dataDxfId="1339" totalsRowDxfId="766" dataCellStyle="Comma">
      <totalsRowFormula>COUNT(TabReg[EZJ1])</totalsRowFormula>
    </tableColumn>
    <tableColumn id="208" xr3:uid="{172612BD-38A4-9045-8225-B6BACB6E0938}" name="EZJ2" totalsRowFunction="custom" dataDxfId="1338" totalsRowDxfId="765" dataCellStyle="Comma">
      <totalsRowFormula>COUNT(TabReg[EZJ2])</totalsRowFormula>
    </tableColumn>
    <tableColumn id="257" xr3:uid="{897D4C8A-78D4-D145-ACA9-1DF7996B1927}" name="F" totalsRowFunction="custom" dataDxfId="1337" totalsRowDxfId="764">
      <totalsRowFormula>COUNT(TabReg[F])</totalsRowFormula>
    </tableColumn>
    <tableColumn id="258" xr3:uid="{A7D8D583-1B05-8148-91A8-CEB2BB055274}" name="F1" totalsRowFunction="custom" dataDxfId="1336" totalsRowDxfId="763" dataCellStyle="Comma">
      <totalsRowFormula>COUNT(TabReg[F1])</totalsRowFormula>
    </tableColumn>
    <tableColumn id="259" xr3:uid="{22766649-0D25-BF4F-85D7-B86CDF58DA39}" name="F2" totalsRowFunction="custom" dataDxfId="1335" totalsRowDxfId="762" dataCellStyle="Comma">
      <totalsRowFormula>COUNT(TabReg[F2])</totalsRowFormula>
    </tableColumn>
    <tableColumn id="260" xr3:uid="{FCD11F79-1C56-6C45-AC2E-082E924CB4A3}" name="GLE" totalsRowFunction="custom" dataDxfId="1334" totalsRowDxfId="761">
      <totalsRowFormula>COUNT(TabReg[GLE])</totalsRowFormula>
    </tableColumn>
    <tableColumn id="261" xr3:uid="{5EB7E023-E38C-DD45-912B-0DFE7A6D3146}" name="GLE1" totalsRowFunction="custom" dataDxfId="1333" totalsRowDxfId="760" dataCellStyle="Comma">
      <totalsRowFormula>COUNT(TabReg[GLE1])</totalsRowFormula>
    </tableColumn>
    <tableColumn id="262" xr3:uid="{FC176C26-7A73-DB43-BD0A-E6EE991D681A}" name="GLE2" totalsRowFunction="custom" dataDxfId="1332" totalsRowDxfId="759" dataCellStyle="Comma">
      <totalsRowFormula>COUNT(TabReg[GLE2])</totalsRowFormula>
    </tableColumn>
    <tableColumn id="263" xr3:uid="{9446E411-2C2F-D343-A67C-95ED97E45DA5}" name="GNRC" totalsRowFunction="custom" dataDxfId="1331" totalsRowDxfId="758">
      <totalsRowFormula>COUNT(TabReg[GNRC])</totalsRowFormula>
    </tableColumn>
    <tableColumn id="264" xr3:uid="{F3FE8B53-FAAF-CB4E-A4D7-0F5EE1683F9E}" name="GNRC1" totalsRowFunction="custom" dataDxfId="1330" totalsRowDxfId="757" dataCellStyle="Comma">
      <totalsRowFormula>COUNT(TabReg[GNRC1])</totalsRowFormula>
    </tableColumn>
    <tableColumn id="265" xr3:uid="{E75747AB-0FE8-A948-9AB7-15132E227017}" name="GNRC2" totalsRowFunction="custom" dataDxfId="1329" totalsRowDxfId="756" dataCellStyle="Comma">
      <totalsRowFormula>COUNT(TabReg[GNRC2])</totalsRowFormula>
    </tableColumn>
    <tableColumn id="209" xr3:uid="{131BFBC2-6A94-CC42-BD9A-855C7FE85C35}" name="GS" totalsRowFunction="custom" dataDxfId="1328" totalsRowDxfId="755">
      <totalsRowFormula>COUNT(TabReg[GS])</totalsRowFormula>
    </tableColumn>
    <tableColumn id="210" xr3:uid="{A78ED95C-9665-9742-8BFA-99A9C75BC404}" name="GS1" totalsRowFunction="custom" dataDxfId="1327" totalsRowDxfId="754" dataCellStyle="Comma">
      <totalsRowFormula>COUNT(TabReg[GS1])</totalsRowFormula>
    </tableColumn>
    <tableColumn id="211" xr3:uid="{8F5C146D-8344-9C4B-BCA6-5AF63729897B}" name="GS2" totalsRowFunction="custom" dataDxfId="1326" totalsRowDxfId="753" dataCellStyle="Comma">
      <totalsRowFormula>COUNT(TabReg[GS2])</totalsRowFormula>
    </tableColumn>
    <tableColumn id="266" xr3:uid="{20F2F446-BE57-094C-9573-EB81C34762AF}" name="LAZR" totalsRowFunction="custom" dataDxfId="1325" totalsRowDxfId="752">
      <totalsRowFormula>COUNT(TabReg[LAZR])</totalsRowFormula>
    </tableColumn>
    <tableColumn id="267" xr3:uid="{F00BD279-0ECA-F743-9538-36D809B80CD3}" name="LAZR1" totalsRowFunction="custom" dataDxfId="1324" totalsRowDxfId="751" dataCellStyle="Comma">
      <totalsRowFormula>COUNT(TabReg[LAZR1])</totalsRowFormula>
    </tableColumn>
    <tableColumn id="268" xr3:uid="{1D038EDA-DE9D-4245-89D8-B2C045C70A6C}" name="LAZR2" totalsRowFunction="custom" dataDxfId="1323" totalsRowDxfId="750">
      <totalsRowFormula>COUNT(TabReg[LAZR2])</totalsRowFormula>
    </tableColumn>
    <tableColumn id="269" xr3:uid="{F16F4EFF-2D64-E744-A3AC-95F9B17CEA2F}" name="LUV" totalsRowFunction="custom" dataDxfId="1322" totalsRowDxfId="749">
      <totalsRowFormula>COUNT(TabReg[LUV])</totalsRowFormula>
    </tableColumn>
    <tableColumn id="270" xr3:uid="{AC39F39E-E54F-1B4B-81E0-A9D66F18D678}" name="LUV1" totalsRowFunction="custom" dataDxfId="1321" totalsRowDxfId="748" dataCellStyle="Comma">
      <totalsRowFormula>COUNT(TabReg[LUV1])</totalsRowFormula>
    </tableColumn>
    <tableColumn id="271" xr3:uid="{DDA01EC9-A8EC-E340-8856-045E57C154E5}" name="LUV2" totalsRowFunction="custom" dataDxfId="1320" totalsRowDxfId="747" dataCellStyle="Comma">
      <totalsRowFormula>COUNT(TabReg[LUV2])</totalsRowFormula>
    </tableColumn>
    <tableColumn id="272" xr3:uid="{749351A6-512B-204B-84E4-670FAACD0369}" name="MA" totalsRowFunction="custom" dataDxfId="1319" totalsRowDxfId="746">
      <totalsRowFormula>COUNT(TabReg[MA])</totalsRowFormula>
    </tableColumn>
    <tableColumn id="273" xr3:uid="{828049A8-7C35-B542-8930-68C89091C4D8}" name="MA1" totalsRowFunction="custom" dataDxfId="1318" totalsRowDxfId="745" dataCellStyle="Comma">
      <totalsRowFormula>COUNT(TabReg[MA1])</totalsRowFormula>
    </tableColumn>
    <tableColumn id="274" xr3:uid="{B1925B35-79A0-C947-AF5A-95C1B54AAD2D}" name="MA2" totalsRowFunction="custom" dataDxfId="1317" totalsRowDxfId="744">
      <totalsRowFormula>COUNT(TabReg[MA2])</totalsRowFormula>
    </tableColumn>
    <tableColumn id="275" xr3:uid="{9E1D1A56-BAC9-7447-BC8D-85593A0856D6}" name="NVAX" totalsRowFunction="custom" dataDxfId="1316" totalsRowDxfId="743">
      <totalsRowFormula>COUNT(TabReg[NVAX])</totalsRowFormula>
    </tableColumn>
    <tableColumn id="276" xr3:uid="{0B75FE73-7F51-5D4E-9BEB-979D6617649C}" name="NVAX1" totalsRowFunction="custom" dataDxfId="1315" totalsRowDxfId="742" dataCellStyle="Comma">
      <totalsRowFormula>COUNT(TabReg[NVAX1])</totalsRowFormula>
    </tableColumn>
    <tableColumn id="277" xr3:uid="{4A6A0493-9483-CA4A-885C-1B1C245534E5}" name="NVAX2" totalsRowFunction="custom" dataDxfId="1314" totalsRowDxfId="741">
      <totalsRowFormula>COUNT(TabReg[NVAX2])</totalsRowFormula>
    </tableColumn>
    <tableColumn id="287" xr3:uid="{7D4C2FDC-F45E-014B-8CCA-692692C22E13}" name="NVS" totalsRowFunction="custom" dataDxfId="1313" totalsRowDxfId="740">
      <totalsRowFormula>COUNT(TabReg[NVS])</totalsRowFormula>
    </tableColumn>
    <tableColumn id="288" xr3:uid="{FBCE367A-3707-9948-B314-F8D5000F6BF9}" name="NVS1" totalsRowFunction="custom" dataDxfId="1312" totalsRowDxfId="739" dataCellStyle="Comma">
      <totalsRowFormula>COUNT(TabReg[NVS1])</totalsRowFormula>
    </tableColumn>
    <tableColumn id="289" xr3:uid="{15239B29-1C46-C24A-8E4B-52142A0760BA}" name="NVS2" totalsRowFunction="custom" dataDxfId="1311" totalsRowDxfId="738">
      <totalsRowFormula>COUNT(TabReg[NVS2])</totalsRowFormula>
    </tableColumn>
    <tableColumn id="293" xr3:uid="{9E5FA77E-2974-304D-BF26-38A14FFED41C}" name="ORA" totalsRowFunction="custom" dataDxfId="1310" totalsRowDxfId="737">
      <totalsRowFormula>COUNT(TabReg[ORA])</totalsRowFormula>
    </tableColumn>
    <tableColumn id="294" xr3:uid="{EAFF0433-5E40-6A4A-8274-D6B66E885F64}" name="ORA1" totalsRowFunction="custom" dataDxfId="1309" totalsRowDxfId="736" dataCellStyle="Comma">
      <totalsRowFormula>COUNT(TabReg[ORA1])</totalsRowFormula>
    </tableColumn>
    <tableColumn id="295" xr3:uid="{98FDE75C-EEE2-D945-8F39-C938380B1DCF}" name="ORA2" totalsRowFunction="custom" dataDxfId="1308" totalsRowDxfId="735">
      <totalsRowFormula>COUNT(TabReg[ORA2])</totalsRowFormula>
    </tableColumn>
    <tableColumn id="341" xr3:uid="{79F0B853-990E-F048-9DB7-48CEDB15D449}" name="OXY" totalsRowFunction="custom" dataDxfId="1307" totalsRowDxfId="734">
      <totalsRowFormula>COUNT(TabReg[OXY])</totalsRowFormula>
    </tableColumn>
    <tableColumn id="342" xr3:uid="{67D8C685-D16D-354A-B89E-7171813BBACB}" name="OXY1" totalsRowFunction="custom" dataDxfId="1306" totalsRowDxfId="733" dataCellStyle="Comma">
      <totalsRowFormula>COUNT(TabReg[OXY1])</totalsRowFormula>
    </tableColumn>
    <tableColumn id="343" xr3:uid="{28DE8418-782B-5944-BAEF-72062E46E63B}" name="OXY2" totalsRowFunction="custom" dataDxfId="1305" totalsRowDxfId="732">
      <totalsRowFormula>COUNT(TabReg[OXY2])</totalsRowFormula>
    </tableColumn>
    <tableColumn id="344" xr3:uid="{89941348-5FF4-CB40-BC45-E8D2587B0B46}" name="PFE" totalsRowFunction="custom" dataDxfId="1304" totalsRowDxfId="731">
      <totalsRowFormula>COUNT(TabReg[PFE])</totalsRowFormula>
    </tableColumn>
    <tableColumn id="345" xr3:uid="{244BE308-157C-A446-BC34-CFC3E87F727E}" name="PFE1" totalsRowFunction="custom" dataDxfId="1303" totalsRowDxfId="730" dataCellStyle="Comma">
      <totalsRowFormula>COUNT(TabReg[PFE1])</totalsRowFormula>
    </tableColumn>
    <tableColumn id="346" xr3:uid="{D5E76701-0AE3-1E47-92EE-A72611DC786D}" name="PFE2" totalsRowFunction="custom" dataDxfId="1302" totalsRowDxfId="729">
      <totalsRowFormula>COUNT(TabReg[PFE2])</totalsRowFormula>
    </tableColumn>
    <tableColumn id="347" xr3:uid="{E30CEE26-CE01-2644-851E-A54AC199B369}" name="RIG" totalsRowFunction="custom" dataDxfId="1301" totalsRowDxfId="728">
      <totalsRowFormula>COUNT(TabReg[RIG])</totalsRowFormula>
    </tableColumn>
    <tableColumn id="348" xr3:uid="{0BDB8355-85ED-0F48-B9D2-BE4BFC6AB116}" name="RIG1" totalsRowFunction="custom" dataDxfId="1300" totalsRowDxfId="727" dataCellStyle="Comma">
      <totalsRowFormula>COUNT(TabReg[RIG1])</totalsRowFormula>
    </tableColumn>
    <tableColumn id="349" xr3:uid="{A9F9D8BA-10B6-E84E-A870-0D7A28806645}" name="RIG2" totalsRowFunction="custom" dataDxfId="1299" totalsRowDxfId="726">
      <totalsRowFormula>COUNT(TabReg[RIG2])</totalsRowFormula>
    </tableColumn>
    <tableColumn id="212" xr3:uid="{F30CC0DB-52A4-E744-A741-C26358086BAC}" name="RRC" totalsRowFunction="custom" dataDxfId="1298" totalsRowDxfId="725">
      <totalsRowFormula>COUNT(TabReg[RRC])</totalsRowFormula>
    </tableColumn>
    <tableColumn id="213" xr3:uid="{56C3BFFD-3193-F64F-B26B-CEEED7BF9A3F}" name="RRC1" totalsRowFunction="custom" dataDxfId="1297" totalsRowDxfId="724" dataCellStyle="Comma">
      <totalsRowFormula>COUNT(TabReg[RRC1])</totalsRowFormula>
    </tableColumn>
    <tableColumn id="214" xr3:uid="{8DE967B3-1687-0848-A144-0C489B72A69B}" name="RRC2" totalsRowFunction="custom" dataDxfId="1296" totalsRowDxfId="723" dataCellStyle="Comma">
      <totalsRowFormula>COUNT(TabReg[RRC2])</totalsRowFormula>
    </tableColumn>
    <tableColumn id="215" xr3:uid="{622EC914-822C-924A-AEF5-A27E19DF6037}" name="XYZ" totalsRowFunction="custom" dataDxfId="1295" totalsRowDxfId="722">
      <totalsRowFormula>COUNT(TabReg[XYZ])</totalsRowFormula>
    </tableColumn>
    <tableColumn id="216" xr3:uid="{B030C74E-0D3D-6541-B7BB-48BF89C99809}" name="XYZ1" totalsRowFunction="custom" dataDxfId="1294" totalsRowDxfId="721" dataCellStyle="Comma">
      <totalsRowFormula>COUNT(TabReg[XYZ1])</totalsRowFormula>
    </tableColumn>
    <tableColumn id="217" xr3:uid="{ACEFFD2C-EAB6-9948-989F-D7D5AC701829}" name="XYZ2" totalsRowFunction="custom" dataDxfId="1293" totalsRowDxfId="720" dataCellStyle="Comma">
      <totalsRowFormula>COUNT(TabReg[XYZ2])</totalsRowFormula>
    </tableColumn>
    <tableColumn id="218" xr3:uid="{4CD2CE15-E36E-3E42-A306-F305A7C90830}" name="THC" totalsRowFunction="custom" dataDxfId="1292" totalsRowDxfId="719">
      <totalsRowFormula>COUNT(TabReg[THC])</totalsRowFormula>
    </tableColumn>
    <tableColumn id="219" xr3:uid="{C11F035D-CDF4-174B-9BE6-F7593779E4D8}" name="THC1" totalsRowFunction="custom" dataDxfId="1291" totalsRowDxfId="718" dataCellStyle="Comma">
      <totalsRowFormula>COUNT(TabReg[THC1])</totalsRowFormula>
    </tableColumn>
    <tableColumn id="220" xr3:uid="{2A06D532-4E45-4645-BB9C-323A66479BFA}" name="THC2" totalsRowFunction="custom" dataDxfId="1290" totalsRowDxfId="717" dataCellStyle="Comma">
      <totalsRowFormula>COUNT(TabReg[THC2])</totalsRowFormula>
    </tableColumn>
    <tableColumn id="221" xr3:uid="{6EA5B267-5542-3547-8C51-B4865046DAB9}" name="X" totalsRowFunction="custom" dataDxfId="1289" totalsRowDxfId="716">
      <totalsRowFormula>COUNT(TabReg[X])</totalsRowFormula>
    </tableColumn>
    <tableColumn id="222" xr3:uid="{365245E0-D863-7643-BC5B-7BD0ECB1DE4C}" name="X1" totalsRowFunction="custom" dataDxfId="1288" totalsRowDxfId="715" dataCellStyle="Comma">
      <totalsRowFormula>COUNT(TabReg[X1])</totalsRowFormula>
    </tableColumn>
    <tableColumn id="223" xr3:uid="{DCD6AC1F-F77E-0741-AC5D-657E140B6DC2}" name="X2" totalsRowFunction="custom" dataDxfId="1287" totalsRowDxfId="714" dataCellStyle="Comma">
      <totalsRowFormula>COUNT(TabReg[X2])</totalsRowFormula>
    </tableColumn>
    <tableColumn id="302" xr3:uid="{12D2B534-7A04-F54F-80F6-A11D14B88280}" name="JBEOAN" totalsRowFunction="custom" dataDxfId="1286" totalsRowDxfId="713">
      <totalsRowFormula>COUNT(TabReg[JBEOAN])</totalsRowFormula>
    </tableColumn>
    <tableColumn id="303" xr3:uid="{8CFAE27D-A663-E64A-BF5D-1F73B5863089}" name="JBEOAN1" totalsRowFunction="custom" dataDxfId="1285" totalsRowDxfId="712" dataCellStyle="Comma">
      <totalsRowFormula>COUNT(TabReg[JBEOAN1])</totalsRowFormula>
    </tableColumn>
    <tableColumn id="304" xr3:uid="{D90F9136-0218-FB4C-836E-08A741E13B5A}" name="JBEOAN2" totalsRowFunction="custom" dataDxfId="1284" totalsRowDxfId="711" dataCellStyle="Comma">
      <totalsRowFormula>COUNT(TabReg[JBEOAN2])</totalsRowFormula>
    </tableColumn>
    <tableColumn id="161" xr3:uid="{A9E992B2-11DC-8849-A7E9-148965BC4326}" name="LOCK" totalsRowFunction="custom" dataDxfId="1283" totalsRowDxfId="710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82" totalsRowDxfId="709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81" totalsRowDxfId="708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80" totalsRowDxfId="707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79" totalsRowDxfId="706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78" totalsRowDxfId="705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77" totalsRowDxfId="704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76" totalsRowDxfId="703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75" totalsRowDxfId="702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74" totalsRowDxfId="701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73" totalsRowDxfId="700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72" totalsRowDxfId="699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71" dataDxfId="1270" totalsRowDxfId="1268" tableBorderDxfId="1269" dataCellStyle="Comma">
  <autoFilter ref="A3:JT35" xr:uid="{82497E80-308B-3747-8E03-4618D1119636}"/>
  <tableColumns count="280">
    <tableColumn id="1" xr3:uid="{33960CB2-E966-014F-92F5-B82FB69412BB}" name="RegIndex" totalsRowFunction="sum" dataDxfId="1267" totalsRowDxfId="373">
      <calculatedColumnFormula>Reg!A4</calculatedColumnFormula>
    </tableColumn>
    <tableColumn id="2" xr3:uid="{1D360D2F-3BC9-B74C-B29E-31988784B463}" name="AAPL" totalsRowFunction="sum" dataDxfId="1266" totalsRowDxfId="372" dataCellStyle="Comma">
      <calculatedColumnFormula>C4*D4</calculatedColumnFormula>
    </tableColumn>
    <tableColumn id="3" xr3:uid="{5CFDC876-2A78-4441-ADC6-C78423FDB265}" name="AAPL1" totalsRowFunction="sum" dataDxfId="1265" totalsRowDxfId="371" dataCellStyle="Comma"/>
    <tableColumn id="4" xr3:uid="{88EF41E9-1908-4247-B995-8E539142CC4A}" name="AAPL2" totalsRowFunction="min" dataDxfId="1264" totalsRowDxfId="370" dataCellStyle="Comma" totalsRowCellStyle="Comma"/>
    <tableColumn id="5" xr3:uid="{A5EC2BA3-239F-7244-89B4-CABA9986B8D8}" name="ADEA" totalsRowFunction="sum" dataDxfId="1263" totalsRowDxfId="369" dataCellStyle="Comma">
      <calculatedColumnFormula>F4*G4</calculatedColumnFormula>
    </tableColumn>
    <tableColumn id="6" xr3:uid="{498E4941-D2D5-E54B-A8CE-896084CED259}" name="ADEA1" totalsRowFunction="sum" dataDxfId="1262" totalsRowDxfId="368" dataCellStyle="Comma"/>
    <tableColumn id="7" xr3:uid="{41A42731-6254-C749-B827-52B2FC3FB2A4}" name="ADEA2" totalsRowFunction="min" dataDxfId="1261" totalsRowDxfId="367" dataCellStyle="Comma" totalsRowCellStyle="Comma"/>
    <tableColumn id="8" xr3:uid="{1D961100-B628-DE46-90C9-83EA276B1E30}" name="AET" totalsRowFunction="sum" dataDxfId="1260" totalsRowDxfId="366" dataCellStyle="Comma">
      <calculatedColumnFormula>I4*J4</calculatedColumnFormula>
    </tableColumn>
    <tableColumn id="9" xr3:uid="{DF67D6F2-D998-5749-A0D0-A84574D57A3B}" name="AET1" totalsRowFunction="sum" dataDxfId="1259" totalsRowDxfId="365" dataCellStyle="Comma"/>
    <tableColumn id="10" xr3:uid="{214EFFC5-24DD-E54B-95C1-EAD457F35416}" name="AET2" totalsRowFunction="min" dataDxfId="1258" totalsRowDxfId="364" dataCellStyle="Comma" totalsRowCellStyle="Comma"/>
    <tableColumn id="11" xr3:uid="{609CC397-1BC6-0148-B886-D4DFE1DEC6A0}" name="AMZN" totalsRowFunction="sum" dataDxfId="1257" totalsRowDxfId="363" dataCellStyle="Comma">
      <calculatedColumnFormula>L4*M4</calculatedColumnFormula>
    </tableColumn>
    <tableColumn id="12" xr3:uid="{273793FA-9C86-C642-B3E6-76C652038496}" name="AMZN1" totalsRowFunction="sum" dataDxfId="1256" totalsRowDxfId="362" dataCellStyle="Comma"/>
    <tableColumn id="13" xr3:uid="{63BC1072-1B2C-9849-99C8-BB2E5F64232C}" name="AMZN2" totalsRowFunction="min" dataDxfId="1255" totalsRowDxfId="361" dataCellStyle="Comma" totalsRowCellStyle="Comma"/>
    <tableColumn id="14" xr3:uid="{4936EB44-FD96-3144-9638-3B49A2A51DB6}" name="ALDNE" totalsRowFunction="sum" dataDxfId="1254" totalsRowDxfId="360" dataCellStyle="Comma">
      <calculatedColumnFormula>O4*P4</calculatedColumnFormula>
    </tableColumn>
    <tableColumn id="15" xr3:uid="{6AC753DE-4A1B-4845-9925-D347D09D8E7D}" name="ALDNE1" totalsRowFunction="sum" dataDxfId="1253" totalsRowDxfId="359" dataCellStyle="Comma"/>
    <tableColumn id="16" xr3:uid="{28EF4831-4746-9F41-B093-DD6F26669C55}" name="ALDNE2" totalsRowFunction="min" dataDxfId="1252" totalsRowDxfId="358" dataCellStyle="Comma" totalsRowCellStyle="Comma"/>
    <tableColumn id="279" xr3:uid="{BA161FF8-BD29-A042-B0DB-5489F5562D0A}" name="ASML" totalsRowFunction="sum" dataDxfId="1251" totalsRowDxfId="357" dataCellStyle="Comma">
      <calculatedColumnFormula>R4*S4</calculatedColumnFormula>
    </tableColumn>
    <tableColumn id="280" xr3:uid="{4DC957D7-B3BA-3D42-B8FB-1DABC2A61037}" name="ASML1" totalsRowFunction="sum" dataDxfId="1250" totalsRowDxfId="356" dataCellStyle="Comma"/>
    <tableColumn id="278" xr3:uid="{66534B1C-4DDC-674F-B01F-51395C394A63}" name="ASML2" totalsRowFunction="min" dataDxfId="1249" totalsRowDxfId="355" dataCellStyle="Comma" totalsRowCellStyle="Comma"/>
    <tableColumn id="290" xr3:uid="{BAEF111A-747D-D948-9704-53701A9298DD}" name="AZN" totalsRowFunction="sum" dataDxfId="1248" totalsRowDxfId="354" dataCellStyle="Comma">
      <calculatedColumnFormula>U4*V4</calculatedColumnFormula>
    </tableColumn>
    <tableColumn id="291" xr3:uid="{0BA9D779-4160-3748-9829-A0AAD859E999}" name="AZN1" totalsRowFunction="sum" dataDxfId="1247" totalsRowDxfId="353" dataCellStyle="Comma"/>
    <tableColumn id="292" xr3:uid="{8DF4FFE0-CFC0-994B-BB37-B2BEEB0EB085}" name="AZN2" totalsRowFunction="min" dataDxfId="1246" totalsRowDxfId="352" dataCellStyle="Comma" totalsRowCellStyle="Comma"/>
    <tableColumn id="281" xr3:uid="{FBBA5F26-A2C1-4641-894A-F81E6F4F290A}" name="BLDP" totalsRowFunction="sum" dataDxfId="1245" totalsRowDxfId="351" dataCellStyle="Comma">
      <calculatedColumnFormula>X4*Y4</calculatedColumnFormula>
    </tableColumn>
    <tableColumn id="282" xr3:uid="{0711F734-9FE9-0C4A-8687-730A320CF4E2}" name="BLDP1" totalsRowFunction="sum" dataDxfId="1244" totalsRowDxfId="350" dataCellStyle="Comma"/>
    <tableColumn id="283" xr3:uid="{C1680C11-9257-5441-A1B7-4A3571D58D33}" name="BLDP2" totalsRowFunction="min" dataDxfId="1243" totalsRowDxfId="349" dataCellStyle="Comma" totalsRowCellStyle="Comma"/>
    <tableColumn id="17" xr3:uid="{8E424699-396B-7E45-B2AB-1F50FF6640DC}" name="BMRA" totalsRowFunction="sum" dataDxfId="1242" totalsRowDxfId="348" dataCellStyle="Comma">
      <calculatedColumnFormula>AA4*AB4</calculatedColumnFormula>
    </tableColumn>
    <tableColumn id="18" xr3:uid="{575431E7-803D-7E41-9456-E5AB0FCF8DB8}" name="BMRA1" totalsRowFunction="sum" dataDxfId="1241" totalsRowDxfId="347" dataCellStyle="Comma"/>
    <tableColumn id="19" xr3:uid="{2E0023E2-35A5-7B4E-8508-B6C34C181B7C}" name="BMRA2" totalsRowFunction="min" dataDxfId="1240" totalsRowDxfId="346" dataCellStyle="Comma" totalsRowCellStyle="Comma"/>
    <tableColumn id="20" xr3:uid="{9A3851EF-9564-B448-B860-E7389AC47CBF}" name="C" totalsRowFunction="sum" dataDxfId="1239" totalsRowDxfId="345" dataCellStyle="Comma">
      <calculatedColumnFormula>AD4*AE4</calculatedColumnFormula>
    </tableColumn>
    <tableColumn id="21" xr3:uid="{AF538AFF-013F-1740-83BD-45A19B31C460}" name="C1" totalsRowFunction="sum" dataDxfId="1238" totalsRowDxfId="344" dataCellStyle="Comma"/>
    <tableColumn id="22" xr3:uid="{DC1285A7-3556-D54A-8F81-2BEA9263E4BE}" name="C2" totalsRowFunction="min" dataDxfId="1237" totalsRowDxfId="343" dataCellStyle="Comma" totalsRowCellStyle="Comma"/>
    <tableColumn id="23" xr3:uid="{3B6E5B4E-3480-BD46-977C-691750931851}" name="CSCO" totalsRowFunction="sum" dataDxfId="1236" totalsRowDxfId="342" dataCellStyle="Comma">
      <calculatedColumnFormula>AG4*AH4</calculatedColumnFormula>
    </tableColumn>
    <tableColumn id="24" xr3:uid="{C25443AF-7D57-094D-9AE2-0AAC436D8598}" name="CSCO1" totalsRowFunction="sum" dataDxfId="1235" totalsRowDxfId="341" dataCellStyle="Comma"/>
    <tableColumn id="25" xr3:uid="{BF250734-1AC0-9C41-8000-AB21AF9C51F8}" name="CSCO2" totalsRowFunction="min" dataDxfId="1234" totalsRowDxfId="340" dataCellStyle="Comma" totalsRowCellStyle="Comma"/>
    <tableColumn id="26" xr3:uid="{C2F1297E-DFFE-DB4F-8EC5-DE4DF2B2645A}" name="CVS" totalsRowFunction="sum" dataDxfId="1233" totalsRowDxfId="339" dataCellStyle="Comma">
      <calculatedColumnFormula>AJ4*AK4</calculatedColumnFormula>
    </tableColumn>
    <tableColumn id="27" xr3:uid="{E8FD75E0-2070-BE40-8E28-26524E585680}" name="CVS1" totalsRowFunction="sum" dataDxfId="1232" totalsRowDxfId="338" dataCellStyle="Comma"/>
    <tableColumn id="28" xr3:uid="{F7AB08DB-22F3-FC41-BE8C-F8C69B2181DC}" name="CVS2" totalsRowFunction="min" dataDxfId="1231" totalsRowDxfId="337" dataCellStyle="Comma" totalsRowCellStyle="Comma"/>
    <tableColumn id="29" xr3:uid="{43B6A3AD-3254-0249-BB3C-EB453D6110BF}" name="DDD" totalsRowFunction="sum" dataDxfId="1230" totalsRowDxfId="336" dataCellStyle="Comma">
      <calculatedColumnFormula>AM4*AN4</calculatedColumnFormula>
    </tableColumn>
    <tableColumn id="30" xr3:uid="{2908B942-C340-7C41-82A9-885BC1FE94DC}" name="DDD1" totalsRowFunction="sum" dataDxfId="1229" totalsRowDxfId="335" dataCellStyle="Comma"/>
    <tableColumn id="31" xr3:uid="{F8553995-0368-624B-87FB-9499224FA0DB}" name="DDD2" totalsRowFunction="min" dataDxfId="1228" totalsRowDxfId="334" dataCellStyle="Comma" totalsRowCellStyle="Comma"/>
    <tableColumn id="32" xr3:uid="{1C4F22BF-9770-DE4A-9B39-D13BA431072A}" name="DIS" totalsRowFunction="sum" dataDxfId="1227" totalsRowDxfId="333" dataCellStyle="Comma">
      <calculatedColumnFormula>AP4*AQ4</calculatedColumnFormula>
    </tableColumn>
    <tableColumn id="33" xr3:uid="{94C74FF9-F0C3-094D-8FD6-90FF908EDCD4}" name="DIS1" totalsRowFunction="sum" dataDxfId="1226" totalsRowDxfId="332" dataCellStyle="Comma"/>
    <tableColumn id="34" xr3:uid="{E1950CBE-E52F-4C45-A66C-D24441972D06}" name="DIS2" totalsRowFunction="min" dataDxfId="1225" totalsRowDxfId="331" dataCellStyle="Comma" totalsRowCellStyle="Comma"/>
    <tableColumn id="35" xr3:uid="{45F5A726-7B15-2B42-A616-A159C052A09F}" name="DSY" totalsRowFunction="sum" dataDxfId="1224" totalsRowDxfId="330" dataCellStyle="Comma">
      <calculatedColumnFormula>AS4*AT4</calculatedColumnFormula>
    </tableColumn>
    <tableColumn id="36" xr3:uid="{B8EAD4FE-05BF-9B49-9A9C-A155AE3446B6}" name="DSY1" totalsRowFunction="sum" dataDxfId="1223" totalsRowDxfId="329" dataCellStyle="Comma"/>
    <tableColumn id="37" xr3:uid="{8087DC7B-7E2B-F44E-ABE0-656B8C5FFC4D}" name="DSY2" totalsRowFunction="min" dataDxfId="1222" totalsRowDxfId="328" dataCellStyle="Comma" totalsRowCellStyle="Comma"/>
    <tableColumn id="38" xr3:uid="{E15D752D-B59B-1548-9617-A3D22A8A2CE7}" name="DVA" totalsRowFunction="sum" dataDxfId="1221" totalsRowDxfId="327" dataCellStyle="Comma">
      <calculatedColumnFormula>AV4*AW4</calculatedColumnFormula>
    </tableColumn>
    <tableColumn id="39" xr3:uid="{E0C5427D-8915-2647-9073-BBBA1C47BF43}" name="DVA1" totalsRowFunction="sum" dataDxfId="1220" totalsRowDxfId="326" dataCellStyle="Comma"/>
    <tableColumn id="40" xr3:uid="{F91B8774-5ECE-E54B-A236-F63E2B43BB69}" name="DVA2" totalsRowFunction="min" dataDxfId="1219" totalsRowDxfId="325" dataCellStyle="Comma" totalsRowCellStyle="Comma"/>
    <tableColumn id="41" xr3:uid="{C651AEE8-3A1D-9940-9193-8048EEF3DBC6}" name="DXC" totalsRowFunction="sum" dataDxfId="1218" totalsRowDxfId="324" dataCellStyle="Comma">
      <calculatedColumnFormula>AY4*AZ4</calculatedColumnFormula>
    </tableColumn>
    <tableColumn id="42" xr3:uid="{4E9AFF6A-AAF6-5541-8F7A-D281E525EE3B}" name="DXC1" totalsRowFunction="sum" dataDxfId="1217" totalsRowDxfId="323" dataCellStyle="Comma"/>
    <tableColumn id="43" xr3:uid="{84D7A30A-FD18-E142-9284-5253B58AFC8D}" name="DXC2" totalsRowFunction="min" dataDxfId="1216" totalsRowDxfId="322" dataCellStyle="Comma" totalsRowCellStyle="Comma"/>
    <tableColumn id="44" xr3:uid="{9EF0D39D-D950-A54F-AB37-F53D15C77014}" name="EOAN" totalsRowFunction="sum" dataDxfId="1215" totalsRowDxfId="321" dataCellStyle="Comma">
      <calculatedColumnFormula>BB4*BC4</calculatedColumnFormula>
    </tableColumn>
    <tableColumn id="45" xr3:uid="{3457CF7B-1ACA-E942-AC3C-DFAEA9461F5D}" name="EOAN1" totalsRowFunction="sum" dataDxfId="1214" totalsRowDxfId="320" dataCellStyle="Comma"/>
    <tableColumn id="46" xr3:uid="{FCC3E753-97E5-3D41-9CEA-78833724A75E}" name="EOAN2" totalsRowFunction="min" dataDxfId="1213" totalsRowDxfId="319" dataCellStyle="Comma" totalsRowCellStyle="Comma"/>
    <tableColumn id="47" xr3:uid="{F2AF1E51-FF05-FE44-953C-44F694788DBF}" name="EPIX" totalsRowFunction="sum" dataDxfId="1212" totalsRowDxfId="318" dataCellStyle="Comma">
      <calculatedColumnFormula>BE4*BF4</calculatedColumnFormula>
    </tableColumn>
    <tableColumn id="48" xr3:uid="{E2DEB917-D3D5-0A41-BE16-39D827041893}" name="EPIX1" totalsRowFunction="sum" dataDxfId="1211" totalsRowDxfId="317" dataCellStyle="Comma"/>
    <tableColumn id="49" xr3:uid="{349D7C9C-922C-DE4F-B684-7DBFA452BB5B}" name="EPIX2" totalsRowFunction="min" dataDxfId="1210" totalsRowDxfId="316" dataCellStyle="Comma" totalsRowCellStyle="Comma"/>
    <tableColumn id="50" xr3:uid="{82E5BAD6-EA0F-C941-ADD9-74C7189DFEE8}" name="GM" totalsRowFunction="sum" dataDxfId="1209" totalsRowDxfId="315" dataCellStyle="Comma">
      <calculatedColumnFormula>BH4*BI4</calculatedColumnFormula>
    </tableColumn>
    <tableColumn id="51" xr3:uid="{D8BBF2CA-FA8B-6F46-AEF8-DBB17C6850CC}" name="GM1" totalsRowFunction="sum" dataDxfId="1208" totalsRowDxfId="314" dataCellStyle="Comma"/>
    <tableColumn id="52" xr3:uid="{CF0FB107-A731-4146-A249-0C7581FABE42}" name="GM2" totalsRowFunction="min" dataDxfId="1207" totalsRowDxfId="313" dataCellStyle="Comma" totalsRowCellStyle="Comma"/>
    <tableColumn id="53" xr3:uid="{BF317168-181B-5B44-949A-14B2EB4DC525}" name="HPE" totalsRowFunction="sum" dataDxfId="1206" totalsRowDxfId="312" dataCellStyle="Comma">
      <calculatedColumnFormula>BK4*BL4</calculatedColumnFormula>
    </tableColumn>
    <tableColumn id="54" xr3:uid="{433CB0C7-DF49-B149-86CA-8D1626A0A981}" name="HPE1" totalsRowFunction="sum" dataDxfId="1205" totalsRowDxfId="311" dataCellStyle="Comma"/>
    <tableColumn id="55" xr3:uid="{3F451925-2771-3E4E-940A-42C4C87F8C07}" name="HPE2" totalsRowFunction="min" dataDxfId="1204" totalsRowDxfId="310" dataCellStyle="Comma" totalsRowCellStyle="Comma"/>
    <tableColumn id="284" xr3:uid="{69E27C69-D7C2-9646-8A53-6EC98FB8AA45}" name="HPQ" totalsRowFunction="sum" dataDxfId="1203" totalsRowDxfId="309" dataCellStyle="Comma">
      <calculatedColumnFormula>BN4*BO4</calculatedColumnFormula>
    </tableColumn>
    <tableColumn id="285" xr3:uid="{CB3E9D6F-CA1B-AD48-A8B5-3971F6B0FE0C}" name="HPQ1" totalsRowFunction="sum" dataDxfId="1202" totalsRowDxfId="308" dataCellStyle="Comma"/>
    <tableColumn id="286" xr3:uid="{0F57E944-E3B2-9244-80A4-EA9A144159EC}" name="HPQ2" totalsRowFunction="min" dataDxfId="1201" totalsRowDxfId="307" dataCellStyle="Comma" totalsRowCellStyle="Comma"/>
    <tableColumn id="56" xr3:uid="{37EF4BFA-8817-8F4A-9A5A-2DCF7F134AB9}" name="IAG" totalsRowFunction="sum" dataDxfId="1200" totalsRowDxfId="306" dataCellStyle="Comma">
      <calculatedColumnFormula>BQ4*BR4</calculatedColumnFormula>
    </tableColumn>
    <tableColumn id="57" xr3:uid="{038CF5D9-3FEC-0741-803F-0C3028C45E70}" name="IAG1" totalsRowFunction="sum" dataDxfId="1199" totalsRowDxfId="305" dataCellStyle="Comma"/>
    <tableColumn id="58" xr3:uid="{81B84837-E69E-CB4B-9FC5-B09EA10EAEFD}" name="IAG2" totalsRowFunction="min" dataDxfId="1198" totalsRowDxfId="304" dataCellStyle="Comma" totalsRowCellStyle="Comma"/>
    <tableColumn id="59" xr3:uid="{A521F13F-1F6E-FD45-8B04-77B155312349}" name="KR" totalsRowFunction="sum" dataDxfId="1197" totalsRowDxfId="303" dataCellStyle="Comma">
      <calculatedColumnFormula>BT4*BU4</calculatedColumnFormula>
    </tableColumn>
    <tableColumn id="60" xr3:uid="{FB3D668B-65F8-F242-971B-3F7455B9E9C5}" name="KR1" totalsRowFunction="sum" dataDxfId="1196" totalsRowDxfId="302" dataCellStyle="Comma"/>
    <tableColumn id="61" xr3:uid="{DED7B841-7579-EA45-8F7C-88D26B6EB710}" name="KR2" totalsRowFunction="min" dataDxfId="1195" totalsRowDxfId="301" dataCellStyle="Comma" totalsRowCellStyle="Comma"/>
    <tableColumn id="62" xr3:uid="{279C3E2D-02FF-AC42-AA72-2C4641B2E894}" name="LNSR" totalsRowFunction="sum" dataDxfId="1194" totalsRowDxfId="300" dataCellStyle="Comma">
      <calculatedColumnFormula>BW4*BX4</calculatedColumnFormula>
    </tableColumn>
    <tableColumn id="63" xr3:uid="{1D73F652-33F1-C94D-93AF-A09E8BC879C6}" name="LNSR1" totalsRowFunction="sum" dataDxfId="1193" totalsRowDxfId="299" dataCellStyle="Comma"/>
    <tableColumn id="64" xr3:uid="{5F417427-45AB-9846-B4D9-BCD3C61A0AD9}" name="LNSR2" totalsRowFunction="min" dataDxfId="1192" totalsRowDxfId="298" dataCellStyle="Comma" totalsRowCellStyle="Comma"/>
    <tableColumn id="65" xr3:uid="{D5E4616C-3C96-F441-B150-9E7D487505F4}" name="LUMN" totalsRowFunction="sum" dataDxfId="1191" totalsRowDxfId="297" dataCellStyle="Comma">
      <calculatedColumnFormula>BZ4*CA4</calculatedColumnFormula>
    </tableColumn>
    <tableColumn id="66" xr3:uid="{B3DDE774-0A1A-A249-974D-00F94BD3E4B0}" name="LUMN1" totalsRowFunction="sum" dataDxfId="1190" totalsRowDxfId="296" dataCellStyle="Comma"/>
    <tableColumn id="67" xr3:uid="{AD17386F-98D1-7B4D-A624-8AF8713F2C6F}" name="LUMN2" totalsRowFunction="min" dataDxfId="1189" totalsRowDxfId="295" dataCellStyle="Comma" totalsRowCellStyle="Comma"/>
    <tableColumn id="68" xr3:uid="{075C465E-D07F-3E41-AD29-0391273B7245}" name="MRNA" totalsRowFunction="sum" dataDxfId="1188" totalsRowDxfId="294" dataCellStyle="Comma">
      <calculatedColumnFormula>CC4*CD4</calculatedColumnFormula>
    </tableColumn>
    <tableColumn id="69" xr3:uid="{108976A4-9B87-2044-86BF-7CC25E962D0A}" name="MRNA1" totalsRowFunction="sum" dataDxfId="1187" totalsRowDxfId="293" dataCellStyle="Comma"/>
    <tableColumn id="70" xr3:uid="{186683DE-535A-A142-979F-180B4B14ADA5}" name="MRNA2" totalsRowFunction="min" dataDxfId="1186" totalsRowDxfId="292" dataCellStyle="Comma" totalsRowCellStyle="Comma"/>
    <tableColumn id="71" xr3:uid="{BC66EE1A-7BC1-104A-9E6B-414EF7DF0132}" name="MSFT" totalsRowFunction="sum" dataDxfId="1185" totalsRowDxfId="291" dataCellStyle="Comma">
      <calculatedColumnFormula>CF4*CG4</calculatedColumnFormula>
    </tableColumn>
    <tableColumn id="72" xr3:uid="{848DDCCA-F6DB-764B-AC64-55BC637FCE26}" name="MSFT1" totalsRowFunction="sum" dataDxfId="1184" totalsRowDxfId="290" dataCellStyle="Comma"/>
    <tableColumn id="73" xr3:uid="{42F93A48-35B9-5148-AC85-A5C2693B2D25}" name="MSFT2" totalsRowFunction="min" dataDxfId="1183" totalsRowDxfId="289" dataCellStyle="Comma" totalsRowCellStyle="Comma"/>
    <tableColumn id="74" xr3:uid="{9D748E7A-5F42-FA42-BEE6-B5EA6CB0B50B}" name="NEE" totalsRowFunction="sum" dataDxfId="1182" totalsRowDxfId="288" dataCellStyle="Comma">
      <calculatedColumnFormula>CI4*CJ4</calculatedColumnFormula>
    </tableColumn>
    <tableColumn id="75" xr3:uid="{F14B6135-A69E-FA4B-8B4F-6D2E94263F2B}" name="NEE1" totalsRowFunction="sum" dataDxfId="1181" totalsRowDxfId="287" dataCellStyle="Comma"/>
    <tableColumn id="76" xr3:uid="{91288EAE-1699-AE45-901D-626680E29596}" name="NEE2" totalsRowFunction="min" dataDxfId="1180" totalsRowDxfId="286" dataCellStyle="Comma" totalsRowCellStyle="Comma"/>
    <tableColumn id="77" xr3:uid="{F0BDA65C-4062-D344-8C7B-3E2C36D5341A}" name="NEM" totalsRowFunction="sum" dataDxfId="1179" totalsRowDxfId="285" dataCellStyle="Comma">
      <calculatedColumnFormula>CL4*CM4</calculatedColumnFormula>
    </tableColumn>
    <tableColumn id="78" xr3:uid="{4BB4FBAD-8718-2141-AB32-0FBE9F3C7730}" name="NEM1" totalsRowFunction="sum" dataDxfId="1178" totalsRowDxfId="284" dataCellStyle="Comma"/>
    <tableColumn id="79" xr3:uid="{461DE5DE-AC7F-2D4C-B48A-D026CD8A0C7F}" name="NEM2" totalsRowFunction="min" dataDxfId="1177" totalsRowDxfId="283" dataCellStyle="Comma" totalsRowCellStyle="Comma"/>
    <tableColumn id="80" xr3:uid="{767DE947-B0A8-564F-B971-71AC18B1D358}" name="NFLX" totalsRowFunction="sum" dataDxfId="1176" totalsRowDxfId="282" dataCellStyle="Comma">
      <calculatedColumnFormula>CO4*CP4</calculatedColumnFormula>
    </tableColumn>
    <tableColumn id="81" xr3:uid="{7135437A-53F8-9F46-A8AC-D79CDD7CAF2F}" name="NFLX1" totalsRowFunction="sum" dataDxfId="1175" totalsRowDxfId="281" dataCellStyle="Comma"/>
    <tableColumn id="82" xr3:uid="{F09FA87A-1C33-B84B-9389-0EEAD575FEB5}" name="NFLX2" totalsRowFunction="min" dataDxfId="1174" totalsRowDxfId="280" dataCellStyle="Comma" totalsRowCellStyle="Comma"/>
    <tableColumn id="83" xr3:uid="{FC351C6C-61AA-684E-9225-351CBFF510F9}" name="NOTE" totalsRowFunction="sum" dataDxfId="1173" totalsRowDxfId="279" dataCellStyle="Comma">
      <calculatedColumnFormula>CR4*CS4</calculatedColumnFormula>
    </tableColumn>
    <tableColumn id="84" xr3:uid="{C2AF73A2-E6E7-154E-B18D-4275EB54F85A}" name="NOTE1" totalsRowFunction="sum" dataDxfId="1172" totalsRowDxfId="278" dataCellStyle="Comma"/>
    <tableColumn id="85" xr3:uid="{193A16E5-97C9-6341-A57C-4F81AD20C896}" name="NOTE2" totalsRowFunction="min" dataDxfId="1171" totalsRowDxfId="277" dataCellStyle="Comma" totalsRowCellStyle="Comma"/>
    <tableColumn id="86" xr3:uid="{4F7758C8-629D-5540-B2C4-9DAEB6168EF2}" name="PAAS" totalsRowFunction="sum" dataDxfId="1170" totalsRowDxfId="276" dataCellStyle="Comma">
      <calculatedColumnFormula>CU4*CV4</calculatedColumnFormula>
    </tableColumn>
    <tableColumn id="87" xr3:uid="{4A0CF417-82E1-0E40-BA92-A2A9D2C0095F}" name="PAAS1" totalsRowFunction="sum" dataDxfId="1169" totalsRowDxfId="275" dataCellStyle="Comma"/>
    <tableColumn id="88" xr3:uid="{56AB8CAF-F3D4-0E4A-BD42-3A6CED504B4A}" name="PAAS2" totalsRowFunction="min" dataDxfId="1168" totalsRowDxfId="274" dataCellStyle="Comma" totalsRowCellStyle="Comma"/>
    <tableColumn id="89" xr3:uid="{77F7C2DE-1D65-E944-8888-3CFD30B77C2C}" name="PROF" totalsRowFunction="sum" dataDxfId="1167" totalsRowDxfId="273" dataCellStyle="Comma">
      <calculatedColumnFormula>CX4*CY4</calculatedColumnFormula>
    </tableColumn>
    <tableColumn id="90" xr3:uid="{DBD3C246-B108-8949-87CA-96DD0756864E}" name="PROF1" totalsRowFunction="sum" dataDxfId="1166" totalsRowDxfId="272" dataCellStyle="Comma"/>
    <tableColumn id="91" xr3:uid="{17CF9242-A84A-D446-8305-5FC833898CEA}" name="PROF2" totalsRowFunction="min" dataDxfId="1165" totalsRowDxfId="271" dataCellStyle="Comma" totalsRowCellStyle="Comma"/>
    <tableColumn id="92" xr3:uid="{AFE36B51-F1D6-B040-B57D-88C7A8782AB9}" name="POET" totalsRowFunction="sum" dataDxfId="1164" totalsRowDxfId="270" dataCellStyle="Comma">
      <calculatedColumnFormula>DA4*DB4</calculatedColumnFormula>
    </tableColumn>
    <tableColumn id="93" xr3:uid="{796B2E6D-5DF6-DD43-893E-D598BA50344C}" name="POET1" totalsRowFunction="sum" dataDxfId="1163" totalsRowDxfId="269" dataCellStyle="Comma"/>
    <tableColumn id="94" xr3:uid="{BAF6005C-FB76-0341-B344-7D29FB9613E1}" name="POET2" totalsRowFunction="min" dataDxfId="1162" totalsRowDxfId="268" dataCellStyle="Comma" totalsRowCellStyle="Comma"/>
    <tableColumn id="95" xr3:uid="{1D5E3358-8692-FC4F-85B7-023E1D71D073}" name="PW" totalsRowFunction="sum" dataDxfId="1161" totalsRowDxfId="267" dataCellStyle="Comma">
      <calculatedColumnFormula>DD4*DE4</calculatedColumnFormula>
    </tableColumn>
    <tableColumn id="96" xr3:uid="{B2FB27F8-3A83-4A44-AAFE-591BA7BE9ABA}" name="PW1" totalsRowFunction="sum" dataDxfId="1160" totalsRowDxfId="266" dataCellStyle="Comma"/>
    <tableColumn id="97" xr3:uid="{83475737-A0C5-1C4D-8BF2-6AE36B4A63BE}" name="PW2" totalsRowFunction="min" dataDxfId="1159" totalsRowDxfId="265" dataCellStyle="Comma" totalsRowCellStyle="Comma"/>
    <tableColumn id="98" xr3:uid="{DB90DFD0-B793-014D-9707-0FF12970971D}" name="RIGL" totalsRowFunction="sum" dataDxfId="1158" totalsRowDxfId="264" dataCellStyle="Comma">
      <calculatedColumnFormula>DG4*DH4</calculatedColumnFormula>
    </tableColumn>
    <tableColumn id="99" xr3:uid="{C4EBB85D-CD76-4249-9105-D345A18E0001}" name="RIGL1" totalsRowFunction="sum" dataDxfId="1157" totalsRowDxfId="263" dataCellStyle="Comma"/>
    <tableColumn id="100" xr3:uid="{5CF95DE9-9FB1-F54F-A6B4-5CB47BB1D4E2}" name="RIGL2" totalsRowFunction="min" dataDxfId="1156" totalsRowDxfId="262" dataCellStyle="Comma" totalsRowCellStyle="Comma"/>
    <tableColumn id="101" xr3:uid="{B6708F28-D805-8541-B57F-ABB52DB693CE}" name="RWE" totalsRowFunction="sum" dataDxfId="1155" totalsRowDxfId="261" dataCellStyle="Comma">
      <calculatedColumnFormula>DJ4*DK4</calculatedColumnFormula>
    </tableColumn>
    <tableColumn id="102" xr3:uid="{17FA264A-8C38-2E46-9D62-4D15201A648E}" name="RWE1" totalsRowFunction="sum" dataDxfId="1154" totalsRowDxfId="260" dataCellStyle="Comma"/>
    <tableColumn id="103" xr3:uid="{78F54D04-DA60-FF46-AB98-C26087522726}" name="RWE2" totalsRowFunction="min" dataDxfId="1153" totalsRowDxfId="259" dataCellStyle="Comma" totalsRowCellStyle="Comma"/>
    <tableColumn id="104" xr3:uid="{A6770EAD-98F5-504A-BBD3-62F3F93188B8}" name="SAP" totalsRowFunction="sum" dataDxfId="1152" totalsRowDxfId="258" dataCellStyle="Comma">
      <calculatedColumnFormula>DM4*DN4</calculatedColumnFormula>
    </tableColumn>
    <tableColumn id="105" xr3:uid="{4D9FC9C6-E970-8B40-B2BD-219FE78D13A2}" name="SAP1" totalsRowFunction="sum" dataDxfId="1151" totalsRowDxfId="257" dataCellStyle="Comma"/>
    <tableColumn id="106" xr3:uid="{51B8B10B-8A48-1747-9D3A-88CFF66FC41C}" name="SAP2" totalsRowFunction="min" dataDxfId="1150" totalsRowDxfId="256" dataCellStyle="Comma" totalsRowCellStyle="Comma"/>
    <tableColumn id="107" xr3:uid="{97BAF581-27B9-294F-A371-024F3ED6AFCD}" name="SHECY" totalsRowFunction="sum" dataDxfId="1149" totalsRowDxfId="255" dataCellStyle="Comma">
      <calculatedColumnFormula>DP4*DQ4</calculatedColumnFormula>
    </tableColumn>
    <tableColumn id="108" xr3:uid="{7B982B00-B45B-2C48-A048-96E73AA110CD}" name="SHECY1" totalsRowFunction="sum" dataDxfId="1148" totalsRowDxfId="254" dataCellStyle="Comma"/>
    <tableColumn id="109" xr3:uid="{C7F697C2-D9A5-FF4F-BA74-E05E1CB3AA61}" name="SHECY2" totalsRowFunction="min" dataDxfId="1147" totalsRowDxfId="253" dataCellStyle="Comma" totalsRowCellStyle="Comma"/>
    <tableColumn id="110" xr3:uid="{9EAC0783-F52D-9A44-BCA3-4FBEC584BD4B}" name="SSYS" totalsRowFunction="sum" dataDxfId="1146" totalsRowDxfId="252" dataCellStyle="Comma">
      <calculatedColumnFormula>DS4*DT4</calculatedColumnFormula>
    </tableColumn>
    <tableColumn id="111" xr3:uid="{71DB3548-80DA-D745-B2DD-3B69267AFD19}" name="SSYS1" totalsRowFunction="sum" dataDxfId="1145" totalsRowDxfId="251" dataCellStyle="Comma"/>
    <tableColumn id="112" xr3:uid="{187D11FE-FA95-7144-94F0-4B8A47E6213F}" name="SSYS2" totalsRowFunction="min" dataDxfId="1144" totalsRowDxfId="250" dataCellStyle="Comma" totalsRowCellStyle="Comma"/>
    <tableColumn id="113" xr3:uid="{64F2E9EE-0DD2-E64B-961F-6E4EC9FE1A2C}" name="TSLA" totalsRowFunction="sum" dataDxfId="1143" totalsRowDxfId="249" dataCellStyle="Comma">
      <calculatedColumnFormula>DV4*DW4</calculatedColumnFormula>
    </tableColumn>
    <tableColumn id="114" xr3:uid="{912F594F-1145-404A-8FFB-5C649B1CE6A5}" name="TSLA1" totalsRowFunction="sum" dataDxfId="1142" totalsRowDxfId="248" dataCellStyle="Comma"/>
    <tableColumn id="115" xr3:uid="{473BFC17-1E00-1D4F-A300-AA7F9E477AFC}" name="TSLA2" totalsRowFunction="min" dataDxfId="1141" totalsRowDxfId="247" dataCellStyle="Comma" totalsRowCellStyle="Comma"/>
    <tableColumn id="116" xr3:uid="{C28DCCDA-ADB8-0741-980D-278E6AFB7C55}" name="TSM" totalsRowFunction="sum" dataDxfId="1140" totalsRowDxfId="246" dataCellStyle="Comma">
      <calculatedColumnFormula>DY4*DZ4</calculatedColumnFormula>
    </tableColumn>
    <tableColumn id="117" xr3:uid="{C2F8146F-CD04-0944-8F31-0F3983A7E58F}" name="TSM1" totalsRowFunction="sum" dataDxfId="1139" totalsRowDxfId="245" dataCellStyle="Comma"/>
    <tableColumn id="118" xr3:uid="{74222717-A683-B146-93AE-A0F5E22E9328}" name="TSM2" totalsRowFunction="min" dataDxfId="1138" totalsRowDxfId="244" dataCellStyle="Comma" totalsRowCellStyle="Comma"/>
    <tableColumn id="119" xr3:uid="{0901EBB1-C32A-9C44-BA18-C8E7C3D14020}" name="UN0" totalsRowFunction="sum" dataDxfId="1137" totalsRowDxfId="243" dataCellStyle="Comma">
      <calculatedColumnFormula>EB4*EC4</calculatedColumnFormula>
    </tableColumn>
    <tableColumn id="120" xr3:uid="{401B1658-5B72-6143-9A5D-640D48E323B7}" name="UN01" totalsRowFunction="sum" dataDxfId="1136" totalsRowDxfId="242" dataCellStyle="Comma"/>
    <tableColumn id="121" xr3:uid="{80103D46-8179-3E4B-83C1-85FD5FEBFD92}" name="UN02" totalsRowFunction="min" dataDxfId="1135" totalsRowDxfId="241" dataCellStyle="Comma" totalsRowCellStyle="Comma"/>
    <tableColumn id="122" xr3:uid="{5518D28A-00D5-2B44-A90C-268152335746}" name="UNIT" totalsRowFunction="sum" dataDxfId="1134" totalsRowDxfId="240" dataCellStyle="Comma">
      <calculatedColumnFormula>EE4*EF4</calculatedColumnFormula>
    </tableColumn>
    <tableColumn id="123" xr3:uid="{0DA54F50-BE03-1F43-AE75-7390556D7240}" name="UNIT1" totalsRowFunction="sum" dataDxfId="1133" totalsRowDxfId="239" dataCellStyle="Comma"/>
    <tableColumn id="124" xr3:uid="{F8F3337B-D053-CF43-B8CD-350E3344D9D8}" name="UNIT2" totalsRowFunction="min" dataDxfId="1132" totalsRowDxfId="238" dataCellStyle="Comma" totalsRowCellStyle="Comma"/>
    <tableColumn id="125" xr3:uid="{90F6E564-1D49-A645-8CE3-E0400EE9FB05}" name="AVGO" totalsRowFunction="sum" dataDxfId="1131" totalsRowDxfId="237" dataCellStyle="Comma">
      <calculatedColumnFormula>EH4*EI4</calculatedColumnFormula>
    </tableColumn>
    <tableColumn id="126" xr3:uid="{057A49F6-157E-4342-92E9-FBAC0064E7B1}" name="AVGO1" totalsRowFunction="sum" dataDxfId="1130" totalsRowDxfId="236" dataCellStyle="Comma"/>
    <tableColumn id="127" xr3:uid="{1B54CB3F-91AD-F644-A5FD-1AA84AAC73F6}" name="AVGO2" totalsRowFunction="min" dataDxfId="1129" totalsRowDxfId="235" dataCellStyle="Comma" totalsRowCellStyle="Comma"/>
    <tableColumn id="128" xr3:uid="{18C225C9-9A39-FD48-8722-25B3D3AE935C}" name="VLVLY" totalsRowFunction="sum" dataDxfId="1128" totalsRowDxfId="234" dataCellStyle="Comma">
      <calculatedColumnFormula>EK4*EL4</calculatedColumnFormula>
    </tableColumn>
    <tableColumn id="129" xr3:uid="{53B1CB62-A672-8648-9042-8CBE01071A93}" name="VLVLY1" totalsRowFunction="sum" dataDxfId="1127" totalsRowDxfId="233" dataCellStyle="Comma"/>
    <tableColumn id="130" xr3:uid="{0BB6943F-DEA5-3C4D-BA40-7BB08F517BD1}" name="VLVLY2" totalsRowFunction="min" dataDxfId="1126" totalsRowDxfId="232" dataCellStyle="Comma" totalsRowCellStyle="Comma"/>
    <tableColumn id="131" xr3:uid="{4562306C-EA26-E042-A1C8-2466DF2D65B7}" name="VONN" totalsRowFunction="sum" dataDxfId="1125" totalsRowDxfId="231" dataCellStyle="Comma">
      <calculatedColumnFormula>EN4*EO4</calculatedColumnFormula>
    </tableColumn>
    <tableColumn id="132" xr3:uid="{AC744B6D-1CEC-D441-8728-3ADA66010589}" name="VONN1" totalsRowFunction="sum" dataDxfId="1124" totalsRowDxfId="230" dataCellStyle="Comma"/>
    <tableColumn id="133" xr3:uid="{31DE1FC5-6841-4B4D-B287-2200B6933FC2}" name="VONN2" totalsRowFunction="min" dataDxfId="1123" totalsRowDxfId="229" dataCellStyle="Comma" totalsRowCellStyle="Comma"/>
    <tableColumn id="134" xr3:uid="{C1678599-0616-8245-B045-DE71244B06F1}" name="VTRS" totalsRowFunction="sum" dataDxfId="1122" totalsRowDxfId="228" dataCellStyle="Comma">
      <calculatedColumnFormula>EQ4*ER4</calculatedColumnFormula>
    </tableColumn>
    <tableColumn id="135" xr3:uid="{02EFA591-8538-5E44-B3AF-E417AE333F46}" name="VTRS1" totalsRowFunction="sum" dataDxfId="1121" totalsRowDxfId="227" dataCellStyle="Comma"/>
    <tableColumn id="136" xr3:uid="{19E9AEAC-16F3-6849-B7CE-BD409C980C42}" name="VTRS2" totalsRowFunction="min" dataDxfId="1120" totalsRowDxfId="226" dataCellStyle="Comma" totalsRowCellStyle="Comma"/>
    <tableColumn id="137" xr3:uid="{78B8C722-B003-6E4A-8D5A-8D841132F662}" name="WBA" totalsRowFunction="sum" dataDxfId="1119" totalsRowDxfId="225" dataCellStyle="Comma">
      <calculatedColumnFormula>ET4*EU4</calculatedColumnFormula>
    </tableColumn>
    <tableColumn id="138" xr3:uid="{08B93B5A-9A57-0840-B50E-5D6D65CAC221}" name="WBA1" totalsRowFunction="sum" dataDxfId="1118" totalsRowDxfId="224" dataCellStyle="Comma"/>
    <tableColumn id="139" xr3:uid="{16277A0F-DCCB-2148-91CF-ABC2FA5F33BF}" name="WBA2" totalsRowFunction="min" dataDxfId="1117" totalsRowDxfId="223" dataCellStyle="Comma" totalsRowCellStyle="Comma"/>
    <tableColumn id="140" xr3:uid="{8877FF1C-DCF6-A944-A79B-F80091E798FF}" name="XOM" totalsRowFunction="sum" dataDxfId="1116" totalsRowDxfId="222" dataCellStyle="Comma">
      <calculatedColumnFormula>EW4*EX4</calculatedColumnFormula>
    </tableColumn>
    <tableColumn id="141" xr3:uid="{8BEE4DBA-E385-4746-A5C9-470D629F6AC1}" name="XOM1" totalsRowFunction="sum" dataDxfId="1115" totalsRowDxfId="221" dataCellStyle="Comma"/>
    <tableColumn id="142" xr3:uid="{BCE5B0E2-2B20-8149-B924-359BFC93A257}" name="XOM2" totalsRowFunction="min" dataDxfId="1114" totalsRowDxfId="220" dataCellStyle="Comma" totalsRowCellStyle="Comma"/>
    <tableColumn id="143" xr3:uid="{AC5F37A6-45EB-FE4C-B2B5-CC5B38E5DF8A}" name="XPER" totalsRowFunction="sum" dataDxfId="1113" totalsRowDxfId="219" dataCellStyle="Comma">
      <calculatedColumnFormula>EZ4*FA4</calculatedColumnFormula>
    </tableColumn>
    <tableColumn id="144" xr3:uid="{D974D0AE-096D-0C4D-9E78-2A2FB6C29079}" name="XPER1" totalsRowFunction="sum" dataDxfId="1112" totalsRowDxfId="218" dataCellStyle="Comma"/>
    <tableColumn id="145" xr3:uid="{94AB83F3-F4D2-D442-BEBA-7706B62E818E}" name="XPER2" totalsRowFunction="min" dataDxfId="1111" totalsRowDxfId="217" dataCellStyle="Comma" totalsRowCellStyle="Comma"/>
    <tableColumn id="146" xr3:uid="{CC00EA36-850C-9247-A869-DCF217560A8E}" name="MVEALDNE" totalsRowFunction="sum" dataDxfId="1110" totalsRowDxfId="216" dataCellStyle="Comma">
      <calculatedColumnFormula>FC4*FD4</calculatedColumnFormula>
    </tableColumn>
    <tableColumn id="147" xr3:uid="{D8D23A69-677A-544A-9726-C621A7268A6C}" name="MVEALDNE1" totalsRowFunction="sum" dataDxfId="1109" totalsRowDxfId="215" dataCellStyle="Comma"/>
    <tableColumn id="148" xr3:uid="{A87E8509-E2E9-7644-AD88-D5B05EAD7335}" name="MVEALDNE2" totalsRowFunction="min" dataDxfId="1108" totalsRowDxfId="214" dataCellStyle="Comma" totalsRowCellStyle="Comma"/>
    <tableColumn id="149" xr3:uid="{5BEDAC17-EF8B-624D-93A0-2287AB12F1A4}" name="MVEDDD" totalsRowFunction="sum" dataDxfId="1107" totalsRowDxfId="213" dataCellStyle="Comma">
      <calculatedColumnFormula>FF4*FG4</calculatedColumnFormula>
    </tableColumn>
    <tableColumn id="150" xr3:uid="{D7606647-8C37-8642-8B82-A4420F32FC8E}" name="MVEDDD1" totalsRowFunction="sum" dataDxfId="1106" totalsRowDxfId="212" dataCellStyle="Comma"/>
    <tableColumn id="151" xr3:uid="{08A196FC-FA50-AF40-9340-D5F5F70C403D}" name="MVEDDD2" totalsRowFunction="min" dataDxfId="1105" totalsRowDxfId="211" dataCellStyle="Comma" totalsRowCellStyle="Comma"/>
    <tableColumn id="152" xr3:uid="{00D26595-4E77-954E-81F4-19093490E1D7}" name="MVEDSY" totalsRowFunction="sum" dataDxfId="1104" totalsRowDxfId="210" dataCellStyle="Comma">
      <calculatedColumnFormula>FI4*FJ4</calculatedColumnFormula>
    </tableColumn>
    <tableColumn id="153" xr3:uid="{F3B8A133-6637-3B42-B853-37ADF456D002}" name="MVEDSY1" totalsRowFunction="sum" dataDxfId="1103" totalsRowDxfId="209" dataCellStyle="Comma"/>
    <tableColumn id="154" xr3:uid="{C0A6D1F9-3BCB-8B49-B58B-56062019C215}" name="MVEDSY2" totalsRowFunction="min" dataDxfId="1102" totalsRowDxfId="208" dataCellStyle="Comma" totalsRowCellStyle="Comma"/>
    <tableColumn id="155" xr3:uid="{8A0154A8-7CE1-8141-8F1A-6FC6333F9F4B}" name="MVEEOAN" totalsRowFunction="sum" dataDxfId="1101" totalsRowDxfId="207" dataCellStyle="Comma">
      <calculatedColumnFormula>FL4*FM4</calculatedColumnFormula>
    </tableColumn>
    <tableColumn id="156" xr3:uid="{6E59740C-0927-924C-A4AD-61AC465DFEB7}" name="MVEEOAN1" totalsRowFunction="sum" dataDxfId="1100" totalsRowDxfId="206" dataCellStyle="Comma"/>
    <tableColumn id="157" xr3:uid="{2D064CF8-04BD-4448-8B40-523093E37B65}" name="MVEEOAN2" totalsRowFunction="min" dataDxfId="1099" totalsRowDxfId="205" dataCellStyle="Comma" totalsRowCellStyle="Comma"/>
    <tableColumn id="158" xr3:uid="{6DDD358B-8956-8248-957B-AD486C1ECFF6}" name="MVEENI" totalsRowFunction="sum" dataDxfId="1098" totalsRowDxfId="204" dataCellStyle="Comma">
      <calculatedColumnFormula>FO4*FP4</calculatedColumnFormula>
    </tableColumn>
    <tableColumn id="159" xr3:uid="{2F894C0B-56EE-564B-9B22-7CD064EE8B51}" name="MVEENI1" totalsRowFunction="sum" dataDxfId="1097" totalsRowDxfId="203" dataCellStyle="Comma"/>
    <tableColumn id="160" xr3:uid="{52303A38-88E8-584B-926B-240712D2B528}" name="MVEENI2" totalsRowFunction="min" dataDxfId="1096" totalsRowDxfId="202" dataCellStyle="Comma" totalsRowCellStyle="Comma"/>
    <tableColumn id="161" xr3:uid="{2552C033-AE97-D944-8662-F7FC8D61E3FD}" name="MVEEPIX" totalsRowFunction="sum" dataDxfId="1095" totalsRowDxfId="201" dataCellStyle="Comma">
      <calculatedColumnFormula>FR4*FS4</calculatedColumnFormula>
    </tableColumn>
    <tableColumn id="162" xr3:uid="{FC754CB8-8978-FE42-974D-50915465429F}" name="MVEEPIX1" totalsRowFunction="sum" dataDxfId="1094" totalsRowDxfId="200" dataCellStyle="Comma"/>
    <tableColumn id="163" xr3:uid="{231B8ECB-D7EB-F747-B9E5-2B9A470DAB79}" name="MVEEPIX2" totalsRowFunction="min" dataDxfId="1093" totalsRowDxfId="199" dataCellStyle="Comma" totalsRowCellStyle="Comma"/>
    <tableColumn id="164" xr3:uid="{15949676-3E79-D844-B518-DFE698A52F5C}" name="MVEGLE" totalsRowFunction="sum" dataDxfId="1092" totalsRowDxfId="198" dataCellStyle="Comma">
      <calculatedColumnFormula>FU4*FV4</calculatedColumnFormula>
    </tableColumn>
    <tableColumn id="165" xr3:uid="{EA8F1B07-6042-1E4D-8D13-13F360C365F9}" name="MVEGLE1" totalsRowFunction="sum" dataDxfId="1091" totalsRowDxfId="197" dataCellStyle="Comma"/>
    <tableColumn id="166" xr3:uid="{AD4E1A4E-5CE3-F943-B94D-21265EF2AC4C}" name="MVEGLE2" totalsRowFunction="min" dataDxfId="1090" totalsRowDxfId="196" dataCellStyle="Comma" totalsRowCellStyle="Comma"/>
    <tableColumn id="167" xr3:uid="{D0817D23-B75D-9344-9044-9B750FF81CA1}" name="MVEORA" totalsRowFunction="sum" dataDxfId="1089" totalsRowDxfId="195" dataCellStyle="Comma">
      <calculatedColumnFormula>FX4*FY4</calculatedColumnFormula>
    </tableColumn>
    <tableColumn id="168" xr3:uid="{7CD3C561-CB44-844D-83CE-DC1221D1D262}" name="MVEORA1" totalsRowFunction="sum" dataDxfId="1088" totalsRowDxfId="194" dataCellStyle="Comma"/>
    <tableColumn id="169" xr3:uid="{3E2AE2DA-E3D9-2643-A6CB-EDBF6BFEAD49}" name="MVEORA2" totalsRowFunction="min" dataDxfId="1087" totalsRowDxfId="193" dataCellStyle="Comma" totalsRowCellStyle="Comma"/>
    <tableColumn id="170" xr3:uid="{47AB82E2-0029-994A-BCAF-735937B9C15F}" name="MVERWE" totalsRowFunction="sum" dataDxfId="1086" totalsRowDxfId="192" dataCellStyle="Comma">
      <calculatedColumnFormula>GA4*GB4</calculatedColumnFormula>
    </tableColumn>
    <tableColumn id="171" xr3:uid="{0AE2487B-4560-B445-BB20-C420DFBD9607}" name="MVERWE1" totalsRowFunction="sum" dataDxfId="1085" totalsRowDxfId="191" dataCellStyle="Comma"/>
    <tableColumn id="172" xr3:uid="{49C8DEEF-4A34-B84C-AE18-36D9D8CE0C85}" name="MVERWE2" totalsRowFunction="min" dataDxfId="1084" totalsRowDxfId="190" dataCellStyle="Comma" totalsRowCellStyle="Comma"/>
    <tableColumn id="173" xr3:uid="{281E0B65-B1DE-7A4A-BA81-B111AB88CB78}" name="MVESAP" totalsRowFunction="sum" dataDxfId="1083" totalsRowDxfId="189" dataCellStyle="Comma">
      <calculatedColumnFormula>GD4*GE4</calculatedColumnFormula>
    </tableColumn>
    <tableColumn id="174" xr3:uid="{88761A69-194C-0746-A93B-FF06592D8F8F}" name="MVESAP1" totalsRowFunction="sum" dataDxfId="1082" totalsRowDxfId="188" dataCellStyle="Comma"/>
    <tableColumn id="175" xr3:uid="{6D726605-B7D4-C947-B3BB-637A9FAED031}" name="MVESAP2" totalsRowFunction="min" dataDxfId="1081" totalsRowDxfId="187" dataCellStyle="Comma" totalsRowCellStyle="Comma"/>
    <tableColumn id="176" xr3:uid="{A100434D-EA28-0B45-ABEE-C41BD5F7BB02}" name="MVEUN0" totalsRowFunction="sum" dataDxfId="1080" totalsRowDxfId="186" dataCellStyle="Comma">
      <calculatedColumnFormula>GG4*GH4</calculatedColumnFormula>
    </tableColumn>
    <tableColumn id="177" xr3:uid="{9E7BF7FE-8C99-A44A-8F0B-D561D1E6B1F5}" name="MVEUN01" totalsRowFunction="sum" dataDxfId="1079" totalsRowDxfId="185" dataCellStyle="Comma"/>
    <tableColumn id="178" xr3:uid="{76C636C8-EFA7-1C49-84EA-64F10D84AE9A}" name="MVEUN02" totalsRowFunction="min" dataDxfId="1078" totalsRowDxfId="184" dataCellStyle="Comma" totalsRowCellStyle="Comma"/>
    <tableColumn id="293" xr3:uid="{355C0BBE-A3AA-EE45-B4A0-82B42D36AD39}" name="SAFAAPL" totalsRowFunction="sum" dataDxfId="1077" totalsRowDxfId="183" dataCellStyle="Comma">
      <calculatedColumnFormula>GJ4*GK4</calculatedColumnFormula>
    </tableColumn>
    <tableColumn id="294" xr3:uid="{75C965A4-4D64-954F-8D00-FFCB7802D390}" name="SAFAAPL1" totalsRowFunction="sum" dataDxfId="1076" totalsRowDxfId="182" dataCellStyle="Comma"/>
    <tableColumn id="295" xr3:uid="{A2C5A392-5EB9-A040-8112-B424167BB828}" name="SAFAAPL2" totalsRowFunction="min" dataDxfId="1075" totalsRowDxfId="181" dataCellStyle="Comma" totalsRowCellStyle="Comma"/>
    <tableColumn id="194" xr3:uid="{D5C281BF-9E7D-FA4B-B898-77921FAA3B4C}" name="SAFAMZN" totalsRowFunction="sum" dataDxfId="1074" totalsRowDxfId="180" dataCellStyle="Comma">
      <calculatedColumnFormula>GM4*GN4</calculatedColumnFormula>
    </tableColumn>
    <tableColumn id="195" xr3:uid="{096D0ABC-07F4-754B-AFA8-C310FFBDFD13}" name="SAFAMZN1" totalsRowFunction="sum" dataDxfId="1073" totalsRowDxfId="179" dataCellStyle="Comma"/>
    <tableColumn id="196" xr3:uid="{42C3E450-B1B6-4749-A2D3-DFE4068A8B69}" name="SAFAMZN2" totalsRowFunction="min" dataDxfId="1072" totalsRowDxfId="178" dataCellStyle="Comma" totalsRowCellStyle="Comma"/>
    <tableColumn id="197" xr3:uid="{DA8D56A9-EB87-E745-BB60-68EE1B73AAA3}" name="SAFASML" totalsRowFunction="sum" dataDxfId="1071" totalsRowDxfId="177" dataCellStyle="Comma">
      <calculatedColumnFormula>GP4*GQ4</calculatedColumnFormula>
    </tableColumn>
    <tableColumn id="198" xr3:uid="{31339F60-763A-EF4E-830D-344C7454A5E5}" name="SAFASML1" totalsRowFunction="sum" dataDxfId="1070" totalsRowDxfId="176" dataCellStyle="Comma"/>
    <tableColumn id="199" xr3:uid="{AFB8DA12-F9D7-5946-A732-34A3BE31A15C}" name="SAFASML2" totalsRowFunction="min" dataDxfId="1069" totalsRowDxfId="175" dataCellStyle="Comma" totalsRowCellStyle="Comma"/>
    <tableColumn id="200" xr3:uid="{0D5328E3-17E9-F847-99D9-012510FD63CF}" name="SAFDDD" totalsRowFunction="sum" dataDxfId="1068" totalsRowDxfId="174" dataCellStyle="Comma">
      <calculatedColumnFormula>GS4*GT4</calculatedColumnFormula>
    </tableColumn>
    <tableColumn id="201" xr3:uid="{EACA5905-1DE5-1D4E-AF65-1B701788C76F}" name="SAFDDD1" totalsRowFunction="sum" dataDxfId="1067" totalsRowDxfId="173" dataCellStyle="Comma"/>
    <tableColumn id="296" xr3:uid="{140DB8CB-0F07-7140-9842-B8279F80AEE3}" name="SAFDDD2" totalsRowFunction="min" dataDxfId="1066" totalsRowDxfId="172" dataCellStyle="Comma" totalsRowCellStyle="Comma"/>
    <tableColumn id="297" xr3:uid="{D2ED426E-E614-8A45-B4F9-11BDACE17342}" name="SAFDIS" totalsRowFunction="sum" dataDxfId="1065" totalsRowDxfId="171" dataCellStyle="Comma">
      <calculatedColumnFormula>GV4*GW4</calculatedColumnFormula>
    </tableColumn>
    <tableColumn id="298" xr3:uid="{8E41568A-156F-F74D-8AA9-55A407CD21E9}" name="SAFDIS1" totalsRowFunction="sum" dataDxfId="1064" totalsRowDxfId="170" dataCellStyle="Comma"/>
    <tableColumn id="202" xr3:uid="{39F493BD-168C-D74C-96CF-5F63DCAEDCF5}" name="SAFDIS2" totalsRowFunction="min" dataDxfId="1063" totalsRowDxfId="169" dataCellStyle="Comma" totalsRowCellStyle="Comma"/>
    <tableColumn id="299" xr3:uid="{43FDDA5F-6BF6-494C-BCE5-3F78EC38FCB5}" name="SAFGM" totalsRowFunction="sum" dataDxfId="1062" totalsRowDxfId="168" dataCellStyle="Comma">
      <calculatedColumnFormula>GY4*GZ4</calculatedColumnFormula>
    </tableColumn>
    <tableColumn id="300" xr3:uid="{8A297456-5980-F648-96E6-89EE12F200F5}" name="SAFGM1" totalsRowFunction="sum" dataDxfId="1061" totalsRowDxfId="167" dataCellStyle="Comma"/>
    <tableColumn id="301" xr3:uid="{A76CCC92-45D2-4641-9706-94B8EF6234A2}" name="SAFGM2" totalsRowFunction="min" dataDxfId="1060" totalsRowDxfId="166" dataCellStyle="Comma" totalsRowCellStyle="Comma"/>
    <tableColumn id="203" xr3:uid="{DCE2DFA9-0967-B44B-A331-201C66120E60}" name="SAFIAG" totalsRowFunction="sum" dataDxfId="1059" totalsRowDxfId="165" dataCellStyle="Comma">
      <calculatedColumnFormula>HB4*HC4</calculatedColumnFormula>
    </tableColumn>
    <tableColumn id="204" xr3:uid="{0ADD8281-874A-5F4A-BF37-6BAC5ADF3E87}" name="SAFIAG1" totalsRowFunction="sum" dataDxfId="1058" totalsRowDxfId="164" dataCellStyle="Comma"/>
    <tableColumn id="205" xr3:uid="{A49643F7-060D-1447-90FE-30030F7AD036}" name="SAFIAG2" totalsRowFunction="min" dataDxfId="1057" totalsRowDxfId="163" dataCellStyle="Comma" totalsRowCellStyle="Comma"/>
    <tableColumn id="206" xr3:uid="{063A3E74-EC3C-8245-AA31-906502465FE7}" name="SAFMRNA" totalsRowFunction="sum" dataDxfId="1056" totalsRowDxfId="162" dataCellStyle="Comma">
      <calculatedColumnFormula>HE4*HF4</calculatedColumnFormula>
    </tableColumn>
    <tableColumn id="207" xr3:uid="{1ACF6430-841D-DE48-A45F-9EEEBC7DDD31}" name="SAFMRNA1" totalsRowFunction="sum" dataDxfId="1055" totalsRowDxfId="161" dataCellStyle="Comma"/>
    <tableColumn id="208" xr3:uid="{F7D7A14E-98EA-E849-80C7-0215AE7E73C4}" name="SAFMRNA2" totalsRowFunction="min" dataDxfId="1054" totalsRowDxfId="160" dataCellStyle="Comma" totalsRowCellStyle="Comma"/>
    <tableColumn id="209" xr3:uid="{2C66852A-F034-F245-AAAE-FD4DB5211184}" name="BLNK" totalsRowFunction="sum" dataDxfId="1053" totalsRowDxfId="159" dataCellStyle="Comma">
      <calculatedColumnFormula>HH4*HI4</calculatedColumnFormula>
    </tableColumn>
    <tableColumn id="210" xr3:uid="{EC92AAB7-FB35-1046-B1B8-EC266DF29AF6}" name="BLNK1" totalsRowFunction="sum" dataDxfId="1052" totalsRowDxfId="158" dataCellStyle="Comma"/>
    <tableColumn id="211" xr3:uid="{C518F1F4-90E9-564D-ABAA-CA9B3577D172}" name="BLNK2" totalsRowFunction="min" dataDxfId="1051" totalsRowDxfId="157" dataCellStyle="Comma" totalsRowCellStyle="Comma"/>
    <tableColumn id="212" xr3:uid="{A7DA3CFF-700D-4746-9C77-2F97DA8F5D89}" name="ENI" totalsRowFunction="sum" dataDxfId="1050" totalsRowDxfId="156" dataCellStyle="Comma">
      <calculatedColumnFormula>HK4*HL4</calculatedColumnFormula>
    </tableColumn>
    <tableColumn id="213" xr3:uid="{4E473110-06B6-8944-981D-A0875462CCE8}" name="ENI1" totalsRowFunction="sum" dataDxfId="1049" totalsRowDxfId="155" dataCellStyle="Comma"/>
    <tableColumn id="214" xr3:uid="{07D48690-0D17-D945-B2A8-97A42729972C}" name="ENI2" totalsRowFunction="min" dataDxfId="1048" totalsRowDxfId="154" dataCellStyle="Comma" totalsRowCellStyle="Comma"/>
    <tableColumn id="215" xr3:uid="{26A23CF1-626D-9B42-BEED-50E95ED94AD5}" name="EZJ" totalsRowFunction="sum" dataDxfId="1047" totalsRowDxfId="153" dataCellStyle="Comma">
      <calculatedColumnFormula>HN4*HO4</calculatedColumnFormula>
    </tableColumn>
    <tableColumn id="216" xr3:uid="{CE90F5E2-B482-7844-9DC6-BBC130767163}" name="EZJ1" totalsRowFunction="sum" dataDxfId="1046" totalsRowDxfId="152" dataCellStyle="Comma"/>
    <tableColumn id="217" xr3:uid="{3480F167-111D-F94C-853E-FA4CD0FD66A0}" name="EZJ2" totalsRowFunction="min" dataDxfId="1045" totalsRowDxfId="151" dataCellStyle="Comma" totalsRowCellStyle="Comma"/>
    <tableColumn id="218" xr3:uid="{E5CEE3C8-1C19-D746-863A-C36FE264E18F}" name="F" totalsRowFunction="sum" dataDxfId="1044" totalsRowDxfId="150" dataCellStyle="Comma">
      <calculatedColumnFormula>HQ4*HR4</calculatedColumnFormula>
    </tableColumn>
    <tableColumn id="219" xr3:uid="{08A44E9A-5C64-5047-9A4B-B3CD8EF0D15B}" name="F1" totalsRowFunction="sum" dataDxfId="1043" totalsRowDxfId="149" dataCellStyle="Comma"/>
    <tableColumn id="220" xr3:uid="{030BF821-FB98-A64A-BCE8-A2C1114A249D}" name="F2" totalsRowFunction="min" dataDxfId="1042" totalsRowDxfId="148" dataCellStyle="Comma" totalsRowCellStyle="Comma"/>
    <tableColumn id="221" xr3:uid="{90D19A12-8398-C940-8AA6-7A305670690C}" name="GLE" totalsRowFunction="sum" dataDxfId="1041" totalsRowDxfId="147" dataCellStyle="Comma">
      <calculatedColumnFormula>HT4*HU4</calculatedColumnFormula>
    </tableColumn>
    <tableColumn id="222" xr3:uid="{5C5F7676-8535-B84D-8A30-67A39C1F644E}" name="GLE1" totalsRowFunction="sum" dataDxfId="1040" totalsRowDxfId="146" dataCellStyle="Comma"/>
    <tableColumn id="223" xr3:uid="{116EA170-40CC-4747-A155-13618E51BF7C}" name="GLE2" totalsRowFunction="min" dataDxfId="1039" totalsRowDxfId="145" dataCellStyle="Comma" totalsRowCellStyle="Comma"/>
    <tableColumn id="302" xr3:uid="{C9F18012-A33C-D540-8ACE-BC223A448275}" name="GNRC" totalsRowFunction="sum" dataDxfId="1038" totalsRowDxfId="144" dataCellStyle="Comma">
      <calculatedColumnFormula>HW4*HX4</calculatedColumnFormula>
    </tableColumn>
    <tableColumn id="303" xr3:uid="{2A6956C6-1AD1-A042-BA0A-356D51A7C372}" name="GNRC1" totalsRowFunction="sum" dataDxfId="1037" totalsRowDxfId="143" dataCellStyle="Comma"/>
    <tableColumn id="304" xr3:uid="{72BEB8EB-80EB-004D-844E-63DF118C8312}" name="GNRC2" totalsRowFunction="min" dataDxfId="1036" totalsRowDxfId="142" dataCellStyle="Comma" totalsRowCellStyle="Comma"/>
    <tableColumn id="305" xr3:uid="{AA02E0F8-BB0C-F549-BFBB-3DD143D0A554}" name="GS" totalsRowFunction="sum" dataDxfId="1035" totalsRowDxfId="141" dataCellStyle="Comma">
      <calculatedColumnFormula>HZ4*IA4</calculatedColumnFormula>
    </tableColumn>
    <tableColumn id="306" xr3:uid="{7FFD5798-3EC1-5B4F-BC28-9F98153C358A}" name="GS1" totalsRowFunction="sum" dataDxfId="1034" totalsRowDxfId="140" dataCellStyle="Comma"/>
    <tableColumn id="307" xr3:uid="{BA69B203-4954-4641-828D-F504F343AAA0}" name="GS2" totalsRowFunction="min" dataDxfId="1033" totalsRowDxfId="139" dataCellStyle="Comma" totalsRowCellStyle="Comma"/>
    <tableColumn id="308" xr3:uid="{9311DF81-C645-954F-BE13-D8E80C967765}" name="LAZR" totalsRowFunction="sum" dataDxfId="1032" totalsRowDxfId="138" dataCellStyle="Comma">
      <calculatedColumnFormula>IC4*ID4</calculatedColumnFormula>
    </tableColumn>
    <tableColumn id="309" xr3:uid="{1DCA0E5C-F46E-C442-BF17-231E422C436B}" name="LAZR1" totalsRowFunction="sum" dataDxfId="1031" totalsRowDxfId="137" dataCellStyle="Comma"/>
    <tableColumn id="310" xr3:uid="{5B721FEF-DC79-1A4E-87B2-6F6751A8C5FB}" name="LAZR2" totalsRowFunction="min" dataDxfId="1030" totalsRowDxfId="136" dataCellStyle="Comma" totalsRowCellStyle="Comma"/>
    <tableColumn id="311" xr3:uid="{BCAB8D3E-89FB-9745-BDD3-303CAFE40D00}" name="LUV" totalsRowFunction="sum" dataDxfId="1029" totalsRowDxfId="135" dataCellStyle="Comma">
      <calculatedColumnFormula>IF4*IG4</calculatedColumnFormula>
    </tableColumn>
    <tableColumn id="312" xr3:uid="{5FB4AA94-F2AF-9646-8B63-1F30702DD0C3}" name="LUV1" totalsRowFunction="sum" dataDxfId="1028" totalsRowDxfId="134" dataCellStyle="Comma"/>
    <tableColumn id="313" xr3:uid="{DC3D55B4-20FF-CC4E-8AE7-F28BB537E330}" name="LUV2" totalsRowFunction="min" dataDxfId="1027" totalsRowDxfId="133" dataCellStyle="Comma" totalsRowCellStyle="Comma"/>
    <tableColumn id="314" xr3:uid="{BCE4EA37-D1AA-2141-9F57-2E9684F67DD6}" name="MA" totalsRowFunction="sum" dataDxfId="1026" totalsRowDxfId="132" dataCellStyle="Comma">
      <calculatedColumnFormula>II4*IJ4</calculatedColumnFormula>
    </tableColumn>
    <tableColumn id="315" xr3:uid="{C0D021C1-69A2-0241-BEE9-1C158F73A4FA}" name="MA1" totalsRowFunction="sum" dataDxfId="1025" totalsRowDxfId="131" dataCellStyle="Comma"/>
    <tableColumn id="316" xr3:uid="{14BC53C8-F1A7-5141-A56E-D7C0D21D3F9E}" name="MA2" totalsRowFunction="min" dataDxfId="1024" totalsRowDxfId="130" dataCellStyle="Comma" totalsRowCellStyle="Comma"/>
    <tableColumn id="317" xr3:uid="{CF77F9FD-A4BA-7C4C-B956-AA8BA42387AA}" name="NVAX" totalsRowFunction="sum" dataDxfId="1023" totalsRowDxfId="129" dataCellStyle="Comma">
      <calculatedColumnFormula>IL4*IM4</calculatedColumnFormula>
    </tableColumn>
    <tableColumn id="318" xr3:uid="{37B4420D-D726-C34E-BB05-0E9C71C659B3}" name="NVAX1" totalsRowFunction="sum" dataDxfId="1022" totalsRowDxfId="128" dataCellStyle="Comma"/>
    <tableColumn id="319" xr3:uid="{3744BA38-7173-AD4D-9E08-7BB49ACB0F4B}" name="NVAX2" totalsRowFunction="min" dataDxfId="1021" totalsRowDxfId="127" dataCellStyle="Comma" totalsRowCellStyle="Comma"/>
    <tableColumn id="320" xr3:uid="{6D6D9F8B-5C5C-6143-8F6C-6553E839FE07}" name="NVS" totalsRowFunction="sum" dataDxfId="1020" totalsRowDxfId="126" dataCellStyle="Comma">
      <calculatedColumnFormula>IO4*IP4</calculatedColumnFormula>
    </tableColumn>
    <tableColumn id="321" xr3:uid="{A0EA5C9D-1AF5-0A40-959F-B72043D75D14}" name="NVS1" totalsRowFunction="sum" dataDxfId="1019" totalsRowDxfId="125" dataCellStyle="Comma"/>
    <tableColumn id="322" xr3:uid="{C52A1BFE-EC98-094F-A6F5-DDC88259DCCB}" name="NVS2" totalsRowFunction="min" dataDxfId="1018" totalsRowDxfId="124" dataCellStyle="Comma" totalsRowCellStyle="Comma"/>
    <tableColumn id="323" xr3:uid="{DB445CFC-F9DD-F045-BE44-85B852E67938}" name="ORA" totalsRowFunction="sum" dataDxfId="1017" totalsRowDxfId="123" dataCellStyle="Comma">
      <calculatedColumnFormula>IR4*IS4</calculatedColumnFormula>
    </tableColumn>
    <tableColumn id="324" xr3:uid="{C83CEEE4-0EAF-D24F-9C6E-28C1414591B8}" name="ORA1" totalsRowFunction="sum" dataDxfId="1016" totalsRowDxfId="122" dataCellStyle="Comma"/>
    <tableColumn id="325" xr3:uid="{BB136A20-C895-1A47-B3E3-C8A1A2AC1D2E}" name="ORA2" totalsRowFunction="min" dataDxfId="1015" totalsRowDxfId="121" dataCellStyle="Comma" totalsRowCellStyle="Comma"/>
    <tableColumn id="326" xr3:uid="{7ADB006D-78C3-6B41-A185-8130D821F1BA}" name="OXY" totalsRowFunction="sum" dataDxfId="1014" totalsRowDxfId="120" dataCellStyle="Comma">
      <calculatedColumnFormula>IU4*IV4</calculatedColumnFormula>
    </tableColumn>
    <tableColumn id="327" xr3:uid="{8AFEF757-F34B-5F4D-8AEE-1DAC82AFD593}" name="OXY1" totalsRowFunction="sum" dataDxfId="1013" totalsRowDxfId="119" dataCellStyle="Comma"/>
    <tableColumn id="328" xr3:uid="{12752888-6713-3B4C-AB59-DA7374D21A5C}" name="OXY2" totalsRowFunction="min" dataDxfId="1012" totalsRowDxfId="118" dataCellStyle="Comma" totalsRowCellStyle="Comma"/>
    <tableColumn id="329" xr3:uid="{FB898D0B-AD6A-CB4D-A360-0A0C97AD493F}" name="PFE" totalsRowFunction="sum" dataDxfId="1011" totalsRowDxfId="117" dataCellStyle="Comma">
      <calculatedColumnFormula>IX4*IY4</calculatedColumnFormula>
    </tableColumn>
    <tableColumn id="330" xr3:uid="{5B42F510-EA4F-5447-9390-760689D14CA3}" name="PFE1" totalsRowFunction="sum" dataDxfId="1010" totalsRowDxfId="116" dataCellStyle="Comma"/>
    <tableColumn id="331" xr3:uid="{BE6444AD-A25F-B541-9741-135A41B4775F}" name="PFE2" totalsRowFunction="min" dataDxfId="1009" totalsRowDxfId="115" dataCellStyle="Comma" totalsRowCellStyle="Comma"/>
    <tableColumn id="332" xr3:uid="{17CF3558-3A6E-064A-A188-D993E0384BF1}" name="RIG" totalsRowFunction="sum" dataDxfId="1008" totalsRowDxfId="114" dataCellStyle="Comma">
      <calculatedColumnFormula>JA4*JB4</calculatedColumnFormula>
    </tableColumn>
    <tableColumn id="333" xr3:uid="{1A45FDAA-3932-0B48-8F62-7142F164E5BB}" name="RIG1" totalsRowFunction="sum" dataDxfId="1007" totalsRowDxfId="113" dataCellStyle="Comma"/>
    <tableColumn id="334" xr3:uid="{CA5537A5-1A99-CF4D-8B50-258790D0A53F}" name="RIG2" totalsRowFunction="min" dataDxfId="1006" totalsRowDxfId="112" dataCellStyle="Comma" totalsRowCellStyle="Comma"/>
    <tableColumn id="335" xr3:uid="{120EB001-6A2F-104D-934B-C108A131A82E}" name="RRC" totalsRowFunction="sum" dataDxfId="1005" totalsRowDxfId="111" dataCellStyle="Comma">
      <calculatedColumnFormula>JD4*JE4</calculatedColumnFormula>
    </tableColumn>
    <tableColumn id="336" xr3:uid="{722E8BC9-FEC5-A64E-9CD6-C5EB816941D1}" name="RRC1" totalsRowFunction="sum" dataDxfId="1004" totalsRowDxfId="110" dataCellStyle="Comma"/>
    <tableColumn id="337" xr3:uid="{23E232FC-30C5-2344-AFC5-C4CE011FACB6}" name="RRC2" totalsRowFunction="min" dataDxfId="1003" totalsRowDxfId="109" dataCellStyle="Comma" totalsRowCellStyle="Comma"/>
    <tableColumn id="338" xr3:uid="{024E1B5C-9EBC-6243-9874-62FCB21C7AC4}" name="XYZ" totalsRowFunction="sum" dataDxfId="1002" totalsRowDxfId="108" dataCellStyle="Comma">
      <calculatedColumnFormula>JG4*JH4</calculatedColumnFormula>
    </tableColumn>
    <tableColumn id="339" xr3:uid="{D73E5BF7-13C6-B946-A39C-2E4BEE448031}" name="XYZ1" totalsRowFunction="sum" dataDxfId="1001" totalsRowDxfId="107" dataCellStyle="Comma"/>
    <tableColumn id="340" xr3:uid="{D5809378-8349-EA46-BB5E-AA1EFC987BE1}" name="XYZ2" totalsRowFunction="min" dataDxfId="1000" totalsRowDxfId="106" dataCellStyle="Comma" totalsRowCellStyle="Comma"/>
    <tableColumn id="224" xr3:uid="{3CFBF1E4-89AB-9343-9CF8-F9828D34EEBB}" name="THC" totalsRowFunction="sum" dataDxfId="999" totalsRowDxfId="105" dataCellStyle="Comma">
      <calculatedColumnFormula>JJ4*JK4</calculatedColumnFormula>
    </tableColumn>
    <tableColumn id="225" xr3:uid="{F3E8CEDA-FB49-8B4F-BE49-2D1EAA352819}" name="THC1" totalsRowFunction="sum" dataDxfId="998" totalsRowDxfId="104" dataCellStyle="Comma"/>
    <tableColumn id="226" xr3:uid="{E1E5B5B7-06DD-1E4B-8B47-ADD599550C95}" name="THC2" totalsRowFunction="min" dataDxfId="997" totalsRowDxfId="103" dataCellStyle="Comma" totalsRowCellStyle="Comma"/>
    <tableColumn id="227" xr3:uid="{6A0D4B8F-B250-D242-B6C2-54D388E9BFD0}" name="X" totalsRowFunction="sum" dataDxfId="996" totalsRowDxfId="102" dataCellStyle="Comma">
      <calculatedColumnFormula>JM4*JN4</calculatedColumnFormula>
    </tableColumn>
    <tableColumn id="228" xr3:uid="{DBE03662-A59D-0144-9C67-53007BC63523}" name="X1" totalsRowFunction="sum" dataDxfId="995" totalsRowDxfId="101" dataCellStyle="Comma"/>
    <tableColumn id="229" xr3:uid="{B6FA170C-8F4E-5141-8A1C-4AFB0CF30549}" name="X2" totalsRowFunction="min" dataDxfId="994" totalsRowDxfId="100" dataCellStyle="Comma" totalsRowCellStyle="Comma"/>
    <tableColumn id="230" xr3:uid="{47E3AED3-9366-9D49-99F5-C472B26C9673}" name="JBEOAN" totalsRowFunction="sum" dataDxfId="993" totalsRowDxfId="99" dataCellStyle="Comma">
      <calculatedColumnFormula>JP4*JQ4</calculatedColumnFormula>
    </tableColumn>
    <tableColumn id="231" xr3:uid="{83AAE868-C620-B749-966A-967E2C3EC8B5}" name="JBEOAN1" totalsRowFunction="sum" dataDxfId="992" totalsRowDxfId="98" dataCellStyle="Comma"/>
    <tableColumn id="232" xr3:uid="{D60104C1-2C05-F44D-9D67-52F95CC69479}" name="JBEOAN2" totalsRowFunction="min" dataDxfId="991" totalsRowDxfId="97" dataCellStyle="Comma" totalsRowCellStyle="Comma"/>
    <tableColumn id="179" xr3:uid="{64147A3D-16B4-BF44-9A91-D543A32A8A07}" name="LOCK" totalsRowFunction="sum" dataDxfId="990" totalsRowDxfId="96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89" totalsRowDxfId="95" dataCellStyle="Comma"/>
    <tableColumn id="181" xr3:uid="{6DB17F7E-0B97-C948-8704-F87F232E5B0E}" name="LOCK2" totalsRowFunction="min" dataDxfId="988" totalsRowDxfId="94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127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127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127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127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127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127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127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127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127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  <c r="DM11" t="s">
        <v>2606</v>
      </c>
      <c r="DN11" s="623">
        <v>500</v>
      </c>
      <c r="DO11" s="176">
        <v>-599.29999999999995</v>
      </c>
      <c r="DS11" t="s">
        <v>2607</v>
      </c>
      <c r="DT11" t="s">
        <v>2608</v>
      </c>
      <c r="DU11" s="150">
        <v>40544</v>
      </c>
      <c r="DV11" s="1215">
        <v>500</v>
      </c>
      <c r="DW11" s="1210">
        <v>-896.1</v>
      </c>
    </row>
    <row r="12" spans="1:127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  <c r="DN12" s="1209">
        <v>300</v>
      </c>
      <c r="DO12" s="1210">
        <v>-602.54999999999995</v>
      </c>
      <c r="DQ12" s="1213"/>
      <c r="DR12" s="1214"/>
      <c r="DU12" s="149">
        <v>45453</v>
      </c>
      <c r="DV12" s="133">
        <v>490</v>
      </c>
      <c r="DW12" s="176">
        <v>954.5</v>
      </c>
    </row>
    <row r="13" spans="1:127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  <c r="DN13" s="623">
        <v>200</v>
      </c>
      <c r="DO13" s="176">
        <v>-603.79999999999995</v>
      </c>
      <c r="DQ13" s="1211">
        <v>-603.79999999999995</v>
      </c>
      <c r="DR13" s="1212">
        <v>200</v>
      </c>
      <c r="DU13" s="150">
        <v>45468</v>
      </c>
      <c r="DV13" s="1215">
        <v>500</v>
      </c>
      <c r="DW13" s="1210">
        <v>-945</v>
      </c>
    </row>
    <row r="14" spans="1:127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  <c r="DN14" s="1209">
        <v>500</v>
      </c>
      <c r="DO14" s="1210">
        <v>-622.20000000000005</v>
      </c>
      <c r="DQ14" s="1213"/>
      <c r="DR14" s="1214"/>
      <c r="DU14" s="135">
        <v>45476</v>
      </c>
      <c r="DV14" s="133">
        <v>510</v>
      </c>
      <c r="DW14" s="176">
        <v>982.8</v>
      </c>
    </row>
    <row r="15" spans="1:127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  <c r="DN15" s="623">
        <v>300</v>
      </c>
      <c r="DO15" s="176">
        <v>-632.79999999999995</v>
      </c>
      <c r="DQ15" s="1213">
        <v>-632.79999999999995</v>
      </c>
      <c r="DR15" s="1214">
        <v>300</v>
      </c>
      <c r="DU15" s="181">
        <v>45490</v>
      </c>
      <c r="DV15" s="1215">
        <v>500</v>
      </c>
      <c r="DW15" s="1210">
        <v>-879.74199999999996</v>
      </c>
    </row>
    <row r="16" spans="1:127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  <c r="DN16" s="1209">
        <v>100</v>
      </c>
      <c r="DO16" s="1210">
        <v>-632.95000000000005</v>
      </c>
      <c r="DQ16" s="1211">
        <v>-632.95000000000005</v>
      </c>
      <c r="DR16" s="1212">
        <v>100</v>
      </c>
      <c r="DU16" s="181">
        <v>45491</v>
      </c>
      <c r="DV16" s="133">
        <v>500</v>
      </c>
      <c r="DW16" s="176">
        <v>-860.48699999999997</v>
      </c>
    </row>
    <row r="17" spans="1:127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  <c r="DN17" s="623">
        <v>200</v>
      </c>
      <c r="DO17" s="176">
        <v>-645.5</v>
      </c>
      <c r="DQ17" s="1213">
        <v>-645.5</v>
      </c>
      <c r="DR17" s="1214">
        <v>200</v>
      </c>
      <c r="DU17" s="181">
        <v>45495</v>
      </c>
      <c r="DV17" s="1215">
        <v>500</v>
      </c>
      <c r="DW17" s="1210">
        <v>-857.1</v>
      </c>
    </row>
    <row r="18" spans="1:127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  <c r="DN18" s="1209">
        <v>200</v>
      </c>
      <c r="DO18" s="1210">
        <v>-647.1</v>
      </c>
      <c r="DQ18" s="1213">
        <v>-647.29999999999995</v>
      </c>
      <c r="DR18" s="1214">
        <v>300</v>
      </c>
      <c r="DU18" s="181">
        <v>45506</v>
      </c>
      <c r="DV18" s="133">
        <v>300</v>
      </c>
      <c r="DW18" s="176">
        <v>-763.5</v>
      </c>
    </row>
    <row r="19" spans="1:127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  <c r="DN19" s="623">
        <v>300</v>
      </c>
      <c r="DO19" s="176">
        <v>-647.29999999999995</v>
      </c>
      <c r="DQ19" s="1213">
        <v>-647.1</v>
      </c>
      <c r="DR19" s="1214">
        <v>200</v>
      </c>
      <c r="DU19" s="181">
        <v>45523</v>
      </c>
      <c r="DV19" s="1215">
        <v>300</v>
      </c>
      <c r="DW19" s="1210">
        <v>826.52670000000001</v>
      </c>
    </row>
    <row r="20" spans="1:127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  <c r="DN20" s="1209">
        <v>1000</v>
      </c>
      <c r="DO20" s="1210">
        <v>-653.1</v>
      </c>
      <c r="DQ20" s="1213"/>
      <c r="DR20" s="1214"/>
      <c r="DU20" s="181">
        <v>45531</v>
      </c>
      <c r="DV20" s="133">
        <v>300</v>
      </c>
      <c r="DW20" s="176">
        <v>-791.4</v>
      </c>
    </row>
    <row r="21" spans="1:127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  <c r="DN21" s="623">
        <v>300</v>
      </c>
      <c r="DO21" s="176">
        <v>-653.70000000000005</v>
      </c>
      <c r="DQ21" s="1211">
        <v>-653.70000000000005</v>
      </c>
      <c r="DR21" s="1212">
        <v>1000</v>
      </c>
      <c r="DU21" s="181">
        <v>45575</v>
      </c>
      <c r="DV21" s="1215">
        <v>200</v>
      </c>
      <c r="DW21" s="1210">
        <v>-761.4</v>
      </c>
    </row>
    <row r="22" spans="1:127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  <c r="DN22" s="1209">
        <v>200</v>
      </c>
      <c r="DO22" s="1210">
        <v>-690.9</v>
      </c>
      <c r="DQ22" s="1213"/>
      <c r="DR22" s="1214"/>
      <c r="DU22" s="181">
        <v>45583</v>
      </c>
      <c r="DV22" s="133">
        <v>500</v>
      </c>
      <c r="DW22" s="176">
        <v>-653.1</v>
      </c>
    </row>
    <row r="23" spans="1:127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  <c r="DN23" s="623">
        <v>500</v>
      </c>
      <c r="DO23" s="176">
        <v>-695.5</v>
      </c>
      <c r="DQ23" s="1211"/>
      <c r="DR23" s="1212"/>
      <c r="DU23" s="181">
        <v>45593</v>
      </c>
      <c r="DV23" s="1215">
        <v>1000</v>
      </c>
      <c r="DW23" s="1210">
        <v>-653.70000000000005</v>
      </c>
    </row>
    <row r="24" spans="1:127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  <c r="DN24" s="1209">
        <v>200</v>
      </c>
      <c r="DO24" s="1210">
        <v>-701.05</v>
      </c>
      <c r="DU24" s="181">
        <v>45663</v>
      </c>
      <c r="DV24" s="133">
        <v>200</v>
      </c>
      <c r="DW24" s="176">
        <v>729.4</v>
      </c>
    </row>
    <row r="25" spans="1:127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  <c r="DN25" s="623">
        <v>100</v>
      </c>
      <c r="DO25" s="176">
        <v>-706.2</v>
      </c>
      <c r="DQ25" s="1211"/>
      <c r="DR25" s="1212"/>
      <c r="DU25" s="181">
        <v>45670</v>
      </c>
      <c r="DV25" s="1215">
        <v>200</v>
      </c>
      <c r="DW25" s="1210">
        <v>-706.2</v>
      </c>
    </row>
    <row r="26" spans="1:127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  <c r="DN26" s="1209">
        <v>200</v>
      </c>
      <c r="DO26" s="1210">
        <v>-706.6</v>
      </c>
      <c r="DU26" s="181">
        <v>45677</v>
      </c>
      <c r="DV26" s="133">
        <v>500</v>
      </c>
      <c r="DW26" s="176">
        <v>745.4</v>
      </c>
    </row>
    <row r="27" spans="1:127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  <c r="DN27" s="623">
        <v>100</v>
      </c>
      <c r="DO27" s="176">
        <v>-715.55</v>
      </c>
      <c r="DU27" s="181">
        <v>45679</v>
      </c>
      <c r="DV27" s="1215">
        <v>200</v>
      </c>
      <c r="DW27" s="1210">
        <v>748.4</v>
      </c>
    </row>
    <row r="28" spans="1:127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  <c r="DN28" s="1209">
        <v>100</v>
      </c>
      <c r="DO28" s="1210">
        <v>-717.1</v>
      </c>
      <c r="DQ28" s="1213"/>
      <c r="DR28" s="1214"/>
      <c r="DU28" s="181">
        <v>45680</v>
      </c>
      <c r="DV28" s="133">
        <v>200</v>
      </c>
      <c r="DW28" s="176">
        <v>-715.55</v>
      </c>
    </row>
    <row r="29" spans="1:127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  <c r="DU29" s="181">
        <v>45681</v>
      </c>
      <c r="DV29" s="1215">
        <v>500</v>
      </c>
      <c r="DW29" s="1210">
        <v>-701.05</v>
      </c>
    </row>
    <row r="30" spans="1:127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  <c r="DU30" s="181">
        <v>45684</v>
      </c>
      <c r="DV30" s="133">
        <v>200</v>
      </c>
      <c r="DW30" s="176">
        <v>-647.1</v>
      </c>
    </row>
    <row r="31" spans="1:127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  <c r="DQ31" s="1211">
        <v>-602.54999999999995</v>
      </c>
      <c r="DR31" s="1212">
        <v>300</v>
      </c>
      <c r="DU31" s="181">
        <v>45701</v>
      </c>
      <c r="DV31" s="1215">
        <v>100</v>
      </c>
      <c r="DW31" s="1210">
        <v>737.1</v>
      </c>
    </row>
    <row r="32" spans="1:127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  <c r="DQ32" s="1213">
        <v>-599.29999999999995</v>
      </c>
      <c r="DR32" s="1214">
        <v>500</v>
      </c>
      <c r="DU32" s="181">
        <v>45706</v>
      </c>
      <c r="DV32" s="133">
        <v>100</v>
      </c>
      <c r="DW32" s="176">
        <v>-724.24</v>
      </c>
    </row>
    <row r="33" spans="1:127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  <c r="DQ33" s="1211">
        <v>636.70000000000005</v>
      </c>
      <c r="DR33" s="1212"/>
      <c r="DU33" s="181">
        <v>45706</v>
      </c>
      <c r="DV33" s="1215">
        <v>100</v>
      </c>
      <c r="DW33" s="1210">
        <v>-717.1</v>
      </c>
    </row>
    <row r="34" spans="1:127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  <c r="DQ34" s="1213">
        <v>646.20000000000005</v>
      </c>
      <c r="DR34" s="1214"/>
      <c r="DU34" s="1067">
        <v>45713</v>
      </c>
      <c r="DV34" s="133">
        <v>100</v>
      </c>
      <c r="DW34" s="176">
        <v>-706.6</v>
      </c>
    </row>
    <row r="35" spans="1:127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  <c r="DQ35" s="1211">
        <v>-622.20000000000005</v>
      </c>
      <c r="DR35" s="1212">
        <v>500</v>
      </c>
      <c r="DU35" s="1067">
        <v>45713</v>
      </c>
      <c r="DV35" s="1215">
        <v>300</v>
      </c>
      <c r="DW35" s="1210">
        <v>-690.9</v>
      </c>
    </row>
    <row r="36" spans="1:127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  <c r="DQ36" s="1213">
        <v>667.2</v>
      </c>
      <c r="DR36" s="1214"/>
      <c r="DU36" s="1067">
        <v>45726</v>
      </c>
      <c r="DV36" s="133">
        <v>300</v>
      </c>
      <c r="DW36" s="176">
        <v>-632.79999999999995</v>
      </c>
    </row>
    <row r="37" spans="1:127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  <c r="DU37" s="1067">
        <v>45735</v>
      </c>
      <c r="DV37" s="1215">
        <v>300</v>
      </c>
      <c r="DW37" s="1210">
        <v>667.6</v>
      </c>
    </row>
    <row r="38" spans="1:127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  <c r="DU38" s="1067">
        <v>45743</v>
      </c>
      <c r="DV38" s="133">
        <v>300</v>
      </c>
      <c r="DW38" s="176">
        <v>-647.29999999999995</v>
      </c>
    </row>
    <row r="39" spans="1:127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  <c r="DU39" s="1067">
        <v>45749</v>
      </c>
      <c r="DV39" s="1215">
        <v>200</v>
      </c>
      <c r="DW39" s="1210">
        <v>-603.79999999999995</v>
      </c>
    </row>
    <row r="40" spans="1:127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  <c r="DU40" s="1067">
        <v>45833</v>
      </c>
      <c r="DV40" s="133">
        <v>200</v>
      </c>
      <c r="DW40" s="176">
        <v>-695.5</v>
      </c>
    </row>
    <row r="41" spans="1:127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  <c r="DU41" s="1067">
        <v>45856</v>
      </c>
      <c r="DV41" s="1215">
        <v>100</v>
      </c>
      <c r="DW41" s="1210">
        <v>-632.95000000000005</v>
      </c>
    </row>
    <row r="42" spans="1:127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  <c r="DU42" s="1067">
        <v>45856</v>
      </c>
      <c r="DV42" s="133">
        <v>200</v>
      </c>
      <c r="DW42" s="176">
        <v>-645.5</v>
      </c>
    </row>
    <row r="43" spans="1:127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  <c r="DU43" s="1067">
        <v>45860</v>
      </c>
      <c r="DV43" s="1215">
        <v>300</v>
      </c>
      <c r="DW43" s="1210">
        <v>-602.54999999999995</v>
      </c>
    </row>
    <row r="44" spans="1:127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  <c r="DU44" s="1067">
        <v>45874</v>
      </c>
      <c r="DV44" s="133">
        <v>500</v>
      </c>
      <c r="DW44" s="176">
        <v>-599.29999999999995</v>
      </c>
    </row>
    <row r="45" spans="1:127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  <c r="DU45" s="1067">
        <v>45888</v>
      </c>
      <c r="DV45" s="1215">
        <v>500</v>
      </c>
      <c r="DW45" s="1210">
        <v>636.70000000000005</v>
      </c>
    </row>
    <row r="46" spans="1:127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  <c r="DU46" s="1067">
        <v>45895</v>
      </c>
      <c r="DV46" s="133">
        <v>500</v>
      </c>
      <c r="DW46" s="176">
        <v>646.20000000000005</v>
      </c>
    </row>
    <row r="47" spans="1:127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  <c r="DU47" s="150">
        <v>45902</v>
      </c>
      <c r="DV47" s="1215">
        <v>500</v>
      </c>
      <c r="DW47" s="862">
        <v>-622.20000000000005</v>
      </c>
    </row>
    <row r="48" spans="1:127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  <c r="DU48" s="150">
        <v>45908</v>
      </c>
      <c r="DV48" s="133">
        <v>200</v>
      </c>
      <c r="DW48" s="862">
        <v>667.2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146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146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146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146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146" x14ac:dyDescent="0.3">
      <c r="B85" s="157" t="s">
        <v>642</v>
      </c>
      <c r="C85" t="s">
        <v>728</v>
      </c>
      <c r="D85" t="s">
        <v>801</v>
      </c>
      <c r="AA85" s="442" t="str">
        <v>Min_PP</v>
      </c>
      <c r="DI85" t="s">
        <v>2608</v>
      </c>
      <c r="DJ85" s="150">
        <v>40544</v>
      </c>
      <c r="DK85" s="1215">
        <v>500</v>
      </c>
      <c r="DL85" s="1210">
        <v>-896.1</v>
      </c>
      <c r="DN85" t="s">
        <v>2606</v>
      </c>
      <c r="DO85" s="623">
        <v>500</v>
      </c>
      <c r="DP85" s="176">
        <v>-599.29999999999995</v>
      </c>
      <c r="DR85" t="s">
        <v>2607</v>
      </c>
      <c r="DS85" s="1211">
        <v>-653.70000000000005</v>
      </c>
      <c r="DT85" s="1212">
        <v>1000</v>
      </c>
      <c r="DV85" s="150" cm="1">
        <f t="array" ref="DV85:DX122">_xlfn.SORTBY(DJ85:DL122, DL85:DL122,-1)</f>
        <v>45476</v>
      </c>
      <c r="DW85" s="1215">
        <v>510</v>
      </c>
      <c r="DX85" s="1210">
        <v>982.8</v>
      </c>
      <c r="DZ85" s="1211" cm="1">
        <f t="array" ref="DZ85:EA122">_xlfn.SORTBY(DS85:DT122, DS85:DS122,-1)</f>
        <v>748.4</v>
      </c>
      <c r="EA85" s="1212">
        <v>0</v>
      </c>
      <c r="EB85" s="1210"/>
      <c r="EC85" s="12" t="s">
        <v>2609</v>
      </c>
      <c r="ED85" s="623">
        <v>500</v>
      </c>
      <c r="EE85" s="176">
        <v>-599.29999999999995</v>
      </c>
      <c r="EF85" s="12" t="s">
        <v>2611</v>
      </c>
      <c r="EG85" s="1211">
        <v>-599.29999999999995</v>
      </c>
      <c r="EH85" s="1212">
        <v>500</v>
      </c>
      <c r="EI85" s="12" t="s">
        <v>2610</v>
      </c>
      <c r="EJ85" s="150">
        <v>45874</v>
      </c>
      <c r="EK85" s="1215">
        <v>500</v>
      </c>
      <c r="EL85" s="1210">
        <v>-599.29999999999995</v>
      </c>
      <c r="EN85" s="150" cm="1">
        <f t="array" ref="EN85:EP122">_xlfn.SORTBY(DJ85:DL122, DJ85:DJ122,-1)</f>
        <v>45908</v>
      </c>
      <c r="EO85" s="1215">
        <v>200</v>
      </c>
      <c r="EP85" s="1210">
        <v>667.2</v>
      </c>
    </row>
    <row r="86" spans="1:146" x14ac:dyDescent="0.3">
      <c r="B86" s="157" t="s">
        <v>643</v>
      </c>
      <c r="C86" t="s">
        <v>729</v>
      </c>
      <c r="D86" t="s">
        <v>802</v>
      </c>
      <c r="AA86" s="442" t="str">
        <v>Max_PD</v>
      </c>
      <c r="DJ86" s="149">
        <v>45453</v>
      </c>
      <c r="DK86" s="133">
        <v>490</v>
      </c>
      <c r="DL86" s="176">
        <v>954.5</v>
      </c>
      <c r="DO86" s="1209">
        <v>300</v>
      </c>
      <c r="DP86" s="1210">
        <v>-602.54999999999995</v>
      </c>
      <c r="DS86" s="1213">
        <v>729.4</v>
      </c>
      <c r="DT86" s="1214"/>
      <c r="DV86" s="150">
        <v>45453</v>
      </c>
      <c r="DW86" s="1215">
        <v>490</v>
      </c>
      <c r="DX86" s="1210">
        <v>954.5</v>
      </c>
      <c r="DZ86" s="1211">
        <v>745.4</v>
      </c>
      <c r="EA86" s="1212">
        <v>0</v>
      </c>
      <c r="EB86" s="1210"/>
      <c r="ED86" s="1209">
        <v>300</v>
      </c>
      <c r="EE86" s="1210">
        <v>-602.54999999999995</v>
      </c>
      <c r="EG86" s="1211">
        <v>-602.54999999999995</v>
      </c>
      <c r="EH86" s="1212">
        <v>300</v>
      </c>
      <c r="EJ86" s="150">
        <v>45860</v>
      </c>
      <c r="EK86" s="1215">
        <v>300</v>
      </c>
      <c r="EL86" s="1210">
        <v>-602.54999999999995</v>
      </c>
      <c r="EN86" s="150">
        <v>45902</v>
      </c>
      <c r="EO86" s="1215">
        <v>500</v>
      </c>
      <c r="EP86" s="1210">
        <v>-622.20000000000005</v>
      </c>
    </row>
    <row r="87" spans="1:146" x14ac:dyDescent="0.3">
      <c r="B87" s="157" t="s">
        <v>644</v>
      </c>
      <c r="C87" t="s">
        <v>726</v>
      </c>
      <c r="D87" t="s">
        <v>802</v>
      </c>
      <c r="AA87" s="442" t="str">
        <v>Max_Pn</v>
      </c>
      <c r="DJ87" s="150">
        <v>45468</v>
      </c>
      <c r="DK87" s="1215">
        <v>500</v>
      </c>
      <c r="DL87" s="1210">
        <v>-945</v>
      </c>
      <c r="DO87" s="623">
        <v>200</v>
      </c>
      <c r="DP87" s="176">
        <v>-603.79999999999995</v>
      </c>
      <c r="DS87" s="1211">
        <v>-706.2</v>
      </c>
      <c r="DT87" s="1212">
        <v>200</v>
      </c>
      <c r="DV87" s="150">
        <v>45523</v>
      </c>
      <c r="DW87" s="1215">
        <v>300</v>
      </c>
      <c r="DX87" s="1210">
        <v>826.52670000000001</v>
      </c>
      <c r="DZ87" s="1211">
        <v>737.1</v>
      </c>
      <c r="EA87" s="1212">
        <v>0</v>
      </c>
      <c r="EB87" s="1210"/>
      <c r="ED87" s="623">
        <v>200</v>
      </c>
      <c r="EE87" s="176">
        <v>-603.79999999999995</v>
      </c>
      <c r="EG87" s="1211">
        <v>-603.79999999999995</v>
      </c>
      <c r="EH87" s="1212">
        <v>200</v>
      </c>
      <c r="EJ87" s="150">
        <v>45749</v>
      </c>
      <c r="EK87" s="1215">
        <v>200</v>
      </c>
      <c r="EL87" s="1210">
        <v>-603.79999999999995</v>
      </c>
      <c r="EN87" s="150">
        <v>45895</v>
      </c>
      <c r="EO87" s="1215">
        <v>500</v>
      </c>
      <c r="EP87" s="1210">
        <v>646.20000000000005</v>
      </c>
    </row>
    <row r="88" spans="1:146" x14ac:dyDescent="0.3">
      <c r="B88" s="157" t="s">
        <v>803</v>
      </c>
      <c r="AA88" s="442" t="str">
        <v>Max_PP</v>
      </c>
      <c r="DJ88" s="135">
        <v>45476</v>
      </c>
      <c r="DK88" s="133">
        <v>510</v>
      </c>
      <c r="DL88" s="176">
        <v>982.8</v>
      </c>
      <c r="DO88" s="1209">
        <v>500</v>
      </c>
      <c r="DP88" s="1210">
        <v>-622.20000000000005</v>
      </c>
      <c r="DS88" s="1213">
        <v>745.4</v>
      </c>
      <c r="DT88" s="1214"/>
      <c r="DV88" s="150">
        <v>45679</v>
      </c>
      <c r="DW88" s="1215">
        <v>200</v>
      </c>
      <c r="DX88" s="1210">
        <v>748.4</v>
      </c>
      <c r="DZ88" s="1211">
        <v>729.4</v>
      </c>
      <c r="EA88" s="1212">
        <v>0</v>
      </c>
      <c r="EB88" s="1210"/>
      <c r="ED88" s="1209">
        <v>500</v>
      </c>
      <c r="EE88" s="1210">
        <v>-622.20000000000005</v>
      </c>
      <c r="EG88" s="1211">
        <v>-622.20000000000005</v>
      </c>
      <c r="EH88" s="1212">
        <v>500</v>
      </c>
      <c r="EJ88" s="150">
        <v>45902</v>
      </c>
      <c r="EK88" s="1215">
        <v>500</v>
      </c>
      <c r="EL88" s="1210">
        <v>-622.20000000000005</v>
      </c>
      <c r="EN88" s="150">
        <v>45888</v>
      </c>
      <c r="EO88" s="1215">
        <v>500</v>
      </c>
      <c r="EP88" s="1210">
        <v>636.70000000000005</v>
      </c>
    </row>
    <row r="89" spans="1:146" x14ac:dyDescent="0.3">
      <c r="B89" s="157" t="s">
        <v>804</v>
      </c>
      <c r="AA89" s="442" t="str">
        <v>BS2D</v>
      </c>
      <c r="DJ89" s="181">
        <v>45490</v>
      </c>
      <c r="DK89" s="1215">
        <v>500</v>
      </c>
      <c r="DL89" s="1210">
        <v>-879.74199999999996</v>
      </c>
      <c r="DO89" s="623">
        <v>300</v>
      </c>
      <c r="DP89" s="176">
        <v>-632.79999999999995</v>
      </c>
      <c r="DS89" s="1211">
        <v>748.4</v>
      </c>
      <c r="DT89" s="1212"/>
      <c r="DV89" s="150">
        <v>45677</v>
      </c>
      <c r="DW89" s="1215">
        <v>500</v>
      </c>
      <c r="DX89" s="1210">
        <v>745.4</v>
      </c>
      <c r="DZ89" s="1211">
        <v>667.6</v>
      </c>
      <c r="EA89" s="1212">
        <v>0</v>
      </c>
      <c r="EB89" s="1210"/>
      <c r="ED89" s="623">
        <v>300</v>
      </c>
      <c r="EE89" s="176">
        <v>-632.79999999999995</v>
      </c>
      <c r="EG89" s="1211">
        <v>-632.79999999999995</v>
      </c>
      <c r="EH89" s="1212">
        <v>300</v>
      </c>
      <c r="EJ89" s="150">
        <v>45726</v>
      </c>
      <c r="EK89" s="1215">
        <v>300</v>
      </c>
      <c r="EL89" s="1210">
        <v>-632.79999999999995</v>
      </c>
      <c r="EN89" s="150">
        <v>45874</v>
      </c>
      <c r="EO89" s="1215">
        <v>500</v>
      </c>
      <c r="EP89" s="1210">
        <v>-599.29999999999995</v>
      </c>
    </row>
    <row r="90" spans="1:146" x14ac:dyDescent="0.3">
      <c r="B90" s="157" t="s">
        <v>805</v>
      </c>
      <c r="AA90" s="442" t="str">
        <v>BS2n</v>
      </c>
      <c r="DJ90" s="181">
        <v>45491</v>
      </c>
      <c r="DK90" s="133">
        <v>500</v>
      </c>
      <c r="DL90" s="176">
        <v>-860.48699999999997</v>
      </c>
      <c r="DO90" s="1209">
        <v>100</v>
      </c>
      <c r="DP90" s="1210">
        <v>-632.95000000000005</v>
      </c>
      <c r="DS90" s="1213">
        <v>-715.55</v>
      </c>
      <c r="DT90" s="1214">
        <v>200</v>
      </c>
      <c r="DV90" s="150">
        <v>45701</v>
      </c>
      <c r="DW90" s="1215">
        <v>100</v>
      </c>
      <c r="DX90" s="1210">
        <v>737.1</v>
      </c>
      <c r="DZ90" s="1211">
        <v>667.2</v>
      </c>
      <c r="EA90" s="1212">
        <v>0</v>
      </c>
      <c r="EB90" s="1210"/>
      <c r="ED90" s="1209">
        <v>100</v>
      </c>
      <c r="EE90" s="1210">
        <v>-632.95000000000005</v>
      </c>
      <c r="EG90" s="1211">
        <v>-632.95000000000005</v>
      </c>
      <c r="EH90" s="1212">
        <v>100</v>
      </c>
      <c r="EJ90" s="150">
        <v>45856</v>
      </c>
      <c r="EK90" s="1215">
        <v>100</v>
      </c>
      <c r="EL90" s="1210">
        <v>-632.95000000000005</v>
      </c>
      <c r="EN90" s="150">
        <v>45860</v>
      </c>
      <c r="EO90" s="1215">
        <v>300</v>
      </c>
      <c r="EP90" s="1210">
        <v>-602.54999999999995</v>
      </c>
    </row>
    <row r="91" spans="1:146" x14ac:dyDescent="0.3">
      <c r="B91" s="157" t="s">
        <v>806</v>
      </c>
      <c r="AA91" s="442" t="str">
        <v>BS2P</v>
      </c>
      <c r="DJ91" s="181">
        <v>45495</v>
      </c>
      <c r="DK91" s="1215">
        <v>500</v>
      </c>
      <c r="DL91" s="1210">
        <v>-857.1</v>
      </c>
      <c r="DO91" s="623">
        <v>200</v>
      </c>
      <c r="DP91" s="176">
        <v>-645.5</v>
      </c>
      <c r="DS91" s="1211">
        <v>-701.05</v>
      </c>
      <c r="DT91" s="1212">
        <v>500</v>
      </c>
      <c r="DV91" s="150">
        <v>45663</v>
      </c>
      <c r="DW91" s="1215">
        <v>200</v>
      </c>
      <c r="DX91" s="1210">
        <v>729.4</v>
      </c>
      <c r="DZ91" s="1211">
        <v>646.20000000000005</v>
      </c>
      <c r="EA91" s="1212">
        <v>0</v>
      </c>
      <c r="EB91" s="1210"/>
      <c r="ED91" s="623">
        <v>200</v>
      </c>
      <c r="EE91" s="176">
        <v>-645.5</v>
      </c>
      <c r="EG91" s="1211">
        <v>-645.5</v>
      </c>
      <c r="EH91" s="1212">
        <v>200</v>
      </c>
      <c r="EJ91" s="150">
        <v>45856</v>
      </c>
      <c r="EK91" s="1215">
        <v>200</v>
      </c>
      <c r="EL91" s="1210">
        <v>-645.5</v>
      </c>
      <c r="EN91" s="150">
        <v>45856</v>
      </c>
      <c r="EO91" s="1215">
        <v>100</v>
      </c>
      <c r="EP91" s="1210">
        <v>-632.95000000000005</v>
      </c>
    </row>
    <row r="92" spans="1:146" x14ac:dyDescent="0.3">
      <c r="B92" s="155"/>
      <c r="AA92" s="442" t="str">
        <v>WB2D</v>
      </c>
      <c r="DJ92" s="181">
        <v>45506</v>
      </c>
      <c r="DK92" s="133">
        <v>300</v>
      </c>
      <c r="DL92" s="176">
        <v>-763.5</v>
      </c>
      <c r="DO92" s="1209">
        <v>200</v>
      </c>
      <c r="DP92" s="1210">
        <v>-647.1</v>
      </c>
      <c r="DS92" s="1213">
        <v>-647.1</v>
      </c>
      <c r="DT92" s="1214">
        <v>200</v>
      </c>
      <c r="DV92" s="150">
        <v>45735</v>
      </c>
      <c r="DW92" s="1215">
        <v>300</v>
      </c>
      <c r="DX92" s="1210">
        <v>667.6</v>
      </c>
      <c r="DZ92" s="1211">
        <v>636.70000000000005</v>
      </c>
      <c r="EA92" s="1212">
        <v>0</v>
      </c>
      <c r="EB92" s="1210"/>
      <c r="ED92" s="1209">
        <v>200</v>
      </c>
      <c r="EE92" s="1210">
        <v>-647.1</v>
      </c>
      <c r="EG92" s="1211">
        <v>-647.1</v>
      </c>
      <c r="EH92" s="1212">
        <v>200</v>
      </c>
      <c r="EJ92" s="150">
        <v>45684</v>
      </c>
      <c r="EK92" s="1215">
        <v>200</v>
      </c>
      <c r="EL92" s="1210">
        <v>-647.1</v>
      </c>
      <c r="EN92" s="150">
        <v>45856</v>
      </c>
      <c r="EO92" s="1215">
        <v>200</v>
      </c>
      <c r="EP92" s="1210">
        <v>-645.5</v>
      </c>
    </row>
    <row r="93" spans="1:146" x14ac:dyDescent="0.3">
      <c r="B93" s="161" t="s">
        <v>807</v>
      </c>
      <c r="C93" t="s">
        <v>700</v>
      </c>
      <c r="D93" t="s">
        <v>706</v>
      </c>
      <c r="AA93" s="442" t="str">
        <v>WB2n</v>
      </c>
      <c r="DJ93" s="181">
        <v>45523</v>
      </c>
      <c r="DK93" s="1215">
        <v>300</v>
      </c>
      <c r="DL93" s="1210">
        <v>826.52670000000001</v>
      </c>
      <c r="DO93" s="623">
        <v>300</v>
      </c>
      <c r="DP93" s="176">
        <v>-647.29999999999995</v>
      </c>
      <c r="DS93" s="1211">
        <v>737.1</v>
      </c>
      <c r="DT93" s="1212"/>
      <c r="DV93" s="150">
        <v>45908</v>
      </c>
      <c r="DW93" s="1215">
        <v>200</v>
      </c>
      <c r="DX93" s="1210">
        <v>667.2</v>
      </c>
      <c r="DZ93" s="1211">
        <v>-599.29999999999995</v>
      </c>
      <c r="EA93" s="1212">
        <v>500</v>
      </c>
      <c r="EB93" s="1210"/>
      <c r="ED93" s="623">
        <v>300</v>
      </c>
      <c r="EE93" s="176">
        <v>-647.29999999999995</v>
      </c>
      <c r="EG93" s="1211">
        <v>-647.29999999999995</v>
      </c>
      <c r="EH93" s="1212">
        <v>300</v>
      </c>
      <c r="EJ93" s="150">
        <v>45743</v>
      </c>
      <c r="EK93" s="1215">
        <v>300</v>
      </c>
      <c r="EL93" s="1210">
        <v>-647.29999999999995</v>
      </c>
      <c r="EN93" s="150">
        <v>45833</v>
      </c>
      <c r="EO93" s="1215">
        <v>200</v>
      </c>
      <c r="EP93" s="1210">
        <v>-695.5</v>
      </c>
    </row>
    <row r="94" spans="1:146" x14ac:dyDescent="0.3">
      <c r="B94" s="161" t="s">
        <v>808</v>
      </c>
      <c r="C94" t="s">
        <v>704</v>
      </c>
      <c r="D94" t="s">
        <v>809</v>
      </c>
      <c r="AA94" s="442" t="str">
        <v>WB2P</v>
      </c>
      <c r="DJ94" s="181">
        <v>45531</v>
      </c>
      <c r="DK94" s="133">
        <v>300</v>
      </c>
      <c r="DL94" s="176">
        <v>-791.4</v>
      </c>
      <c r="DO94" s="1209">
        <v>1000</v>
      </c>
      <c r="DP94" s="1210">
        <v>-653.1</v>
      </c>
      <c r="DS94" s="1213">
        <v>-724.24</v>
      </c>
      <c r="DT94" s="1214">
        <v>100</v>
      </c>
      <c r="DV94" s="150">
        <v>45895</v>
      </c>
      <c r="DW94" s="1215">
        <v>500</v>
      </c>
      <c r="DX94" s="1210">
        <v>646.20000000000005</v>
      </c>
      <c r="DZ94" s="1211">
        <v>-602.54999999999995</v>
      </c>
      <c r="EA94" s="1212">
        <v>300</v>
      </c>
      <c r="EB94" s="1210"/>
      <c r="ED94" s="1209">
        <v>1000</v>
      </c>
      <c r="EE94" s="1210">
        <v>-653.1</v>
      </c>
      <c r="EG94" s="1211">
        <v>-653.70000000000005</v>
      </c>
      <c r="EH94" s="1212">
        <v>1000</v>
      </c>
      <c r="EJ94" s="150">
        <v>45583</v>
      </c>
      <c r="EK94" s="1215">
        <v>500</v>
      </c>
      <c r="EL94" s="1210">
        <v>-653.1</v>
      </c>
      <c r="EN94" s="150">
        <v>45749</v>
      </c>
      <c r="EO94" s="1215">
        <v>200</v>
      </c>
      <c r="EP94" s="1210">
        <v>-603.79999999999995</v>
      </c>
    </row>
    <row r="95" spans="1:146" x14ac:dyDescent="0.3">
      <c r="B95" s="161" t="s">
        <v>810</v>
      </c>
      <c r="C95" t="s">
        <v>705</v>
      </c>
      <c r="D95" t="s">
        <v>811</v>
      </c>
      <c r="AA95" s="442" t="str">
        <v>ntoBuy</v>
      </c>
      <c r="DJ95" s="181">
        <v>45575</v>
      </c>
      <c r="DK95" s="1215">
        <v>200</v>
      </c>
      <c r="DL95" s="1210">
        <v>-761.4</v>
      </c>
      <c r="DO95" s="623">
        <v>300</v>
      </c>
      <c r="DP95" s="176">
        <v>-653.70000000000005</v>
      </c>
      <c r="DS95" s="1211">
        <v>-717.1</v>
      </c>
      <c r="DT95" s="1212">
        <v>100</v>
      </c>
      <c r="DV95" s="150">
        <v>45888</v>
      </c>
      <c r="DW95" s="1215">
        <v>500</v>
      </c>
      <c r="DX95" s="1210">
        <v>636.70000000000005</v>
      </c>
      <c r="DZ95" s="1211">
        <v>-603.79999999999995</v>
      </c>
      <c r="EA95" s="1212">
        <v>200</v>
      </c>
      <c r="EB95" s="1210"/>
      <c r="ED95" s="623">
        <v>300</v>
      </c>
      <c r="EE95" s="176">
        <v>-653.70000000000005</v>
      </c>
      <c r="EG95" s="1216">
        <v>-690.9</v>
      </c>
      <c r="EH95" s="1217">
        <v>300</v>
      </c>
      <c r="EJ95" s="150">
        <v>45593</v>
      </c>
      <c r="EK95" s="1215">
        <v>1000</v>
      </c>
      <c r="EL95" s="1210">
        <v>-653.70000000000005</v>
      </c>
      <c r="EN95" s="150">
        <v>45743</v>
      </c>
      <c r="EO95" s="1215">
        <v>300</v>
      </c>
      <c r="EP95" s="1210">
        <v>-647.29999999999995</v>
      </c>
    </row>
    <row r="96" spans="1:146" x14ac:dyDescent="0.3">
      <c r="B96" s="162" t="s">
        <v>812</v>
      </c>
      <c r="C96" t="s">
        <v>707</v>
      </c>
      <c r="AA96" s="442" t="str">
        <v>BuyCost</v>
      </c>
      <c r="DJ96" s="181">
        <v>45583</v>
      </c>
      <c r="DK96" s="133">
        <v>500</v>
      </c>
      <c r="DL96" s="176">
        <v>-653.1</v>
      </c>
      <c r="DO96" s="1209">
        <v>200</v>
      </c>
      <c r="DP96" s="1210">
        <v>-690.9</v>
      </c>
      <c r="DS96" s="1213">
        <v>-706.6</v>
      </c>
      <c r="DT96" s="1214">
        <v>100</v>
      </c>
      <c r="DV96" s="150">
        <v>45874</v>
      </c>
      <c r="DW96" s="1215">
        <v>500</v>
      </c>
      <c r="DX96" s="1210">
        <v>-599.29999999999995</v>
      </c>
      <c r="DZ96" s="1211">
        <v>-622.20000000000005</v>
      </c>
      <c r="EA96" s="1212">
        <v>500</v>
      </c>
      <c r="EB96" s="1210"/>
      <c r="ED96" s="1209">
        <v>200</v>
      </c>
      <c r="EE96" s="1210">
        <v>-690.9</v>
      </c>
      <c r="EG96" s="1216">
        <v>-695.5</v>
      </c>
      <c r="EH96" s="1217">
        <v>200</v>
      </c>
      <c r="EJ96" s="150">
        <v>45713</v>
      </c>
      <c r="EK96" s="1215">
        <v>300</v>
      </c>
      <c r="EL96" s="1210">
        <v>-690.9</v>
      </c>
      <c r="EN96" s="150">
        <v>45735</v>
      </c>
      <c r="EO96" s="1215">
        <v>300</v>
      </c>
      <c r="EP96" s="1210">
        <v>667.6</v>
      </c>
    </row>
    <row r="97" spans="1:146" x14ac:dyDescent="0.3">
      <c r="B97" s="161" t="s">
        <v>813</v>
      </c>
      <c r="C97" t="s">
        <v>708</v>
      </c>
      <c r="AA97" s="442" t="str">
        <v>ntoSell</v>
      </c>
      <c r="DJ97" s="181">
        <v>45593</v>
      </c>
      <c r="DK97" s="1215">
        <v>1000</v>
      </c>
      <c r="DL97" s="1210">
        <v>-653.70000000000005</v>
      </c>
      <c r="DO97" s="623">
        <v>500</v>
      </c>
      <c r="DP97" s="176">
        <v>-695.5</v>
      </c>
      <c r="DS97" s="1211">
        <v>-690.9</v>
      </c>
      <c r="DT97" s="1212">
        <v>300</v>
      </c>
      <c r="DV97" s="150">
        <v>45860</v>
      </c>
      <c r="DW97" s="1215">
        <v>300</v>
      </c>
      <c r="DX97" s="1210">
        <v>-602.54999999999995</v>
      </c>
      <c r="DZ97" s="1211">
        <v>-632.79999999999995</v>
      </c>
      <c r="EA97" s="1212">
        <v>300</v>
      </c>
      <c r="EB97" s="1210"/>
      <c r="ED97" s="623">
        <v>500</v>
      </c>
      <c r="EE97" s="176">
        <v>-695.5</v>
      </c>
      <c r="EG97" s="1216">
        <v>-701.05</v>
      </c>
      <c r="EH97" s="1217">
        <v>500</v>
      </c>
      <c r="EJ97" s="150">
        <v>45833</v>
      </c>
      <c r="EK97" s="1215">
        <v>200</v>
      </c>
      <c r="EL97" s="1210">
        <v>-695.5</v>
      </c>
      <c r="EN97" s="150">
        <v>45726</v>
      </c>
      <c r="EO97" s="1215">
        <v>300</v>
      </c>
      <c r="EP97" s="1210">
        <v>-632.79999999999995</v>
      </c>
    </row>
    <row r="98" spans="1:146" x14ac:dyDescent="0.3">
      <c r="B98" s="161" t="s">
        <v>814</v>
      </c>
      <c r="C98" t="s">
        <v>702</v>
      </c>
      <c r="AA98" s="442" t="str">
        <v>vReverse</v>
      </c>
      <c r="DJ98" s="181">
        <v>45663</v>
      </c>
      <c r="DK98" s="133">
        <v>200</v>
      </c>
      <c r="DL98" s="176">
        <v>729.4</v>
      </c>
      <c r="DO98" s="1209">
        <v>200</v>
      </c>
      <c r="DP98" s="1210">
        <v>-701.05</v>
      </c>
      <c r="DS98" s="1213">
        <v>-632.79999999999995</v>
      </c>
      <c r="DT98" s="1214">
        <v>300</v>
      </c>
      <c r="DV98" s="150">
        <v>45749</v>
      </c>
      <c r="DW98" s="1215">
        <v>200</v>
      </c>
      <c r="DX98" s="1210">
        <v>-603.79999999999995</v>
      </c>
      <c r="DZ98" s="1211">
        <v>-632.95000000000005</v>
      </c>
      <c r="EA98" s="1212">
        <v>100</v>
      </c>
      <c r="EB98" s="1210"/>
      <c r="ED98" s="1209">
        <v>200</v>
      </c>
      <c r="EE98" s="1210">
        <v>-701.05</v>
      </c>
      <c r="EG98" s="1216">
        <v>-706.2</v>
      </c>
      <c r="EH98" s="1217">
        <v>200</v>
      </c>
      <c r="EJ98" s="150">
        <v>45681</v>
      </c>
      <c r="EK98" s="1215">
        <v>500</v>
      </c>
      <c r="EL98" s="1210">
        <v>-701.05</v>
      </c>
      <c r="EN98" s="150">
        <v>45713</v>
      </c>
      <c r="EO98" s="1215">
        <v>100</v>
      </c>
      <c r="EP98" s="1210">
        <v>-706.6</v>
      </c>
    </row>
    <row r="99" spans="1:146" x14ac:dyDescent="0.3">
      <c r="B99" s="161" t="s">
        <v>815</v>
      </c>
      <c r="C99" t="s">
        <v>703</v>
      </c>
      <c r="AA99" s="442" t="str">
        <v>NME</v>
      </c>
      <c r="DJ99" s="181">
        <v>45670</v>
      </c>
      <c r="DK99" s="1215">
        <v>200</v>
      </c>
      <c r="DL99" s="1210">
        <v>-706.2</v>
      </c>
      <c r="DO99" s="623">
        <v>100</v>
      </c>
      <c r="DP99" s="176">
        <v>-706.2</v>
      </c>
      <c r="DS99" s="1211">
        <v>667.6</v>
      </c>
      <c r="DT99" s="1212"/>
      <c r="DV99" s="150">
        <v>45902</v>
      </c>
      <c r="DW99" s="1215">
        <v>500</v>
      </c>
      <c r="DX99" s="1210">
        <v>-622.20000000000005</v>
      </c>
      <c r="DZ99" s="1211">
        <v>-645.5</v>
      </c>
      <c r="EA99" s="1212">
        <v>200</v>
      </c>
      <c r="EB99" s="1210"/>
      <c r="ED99" s="623">
        <v>100</v>
      </c>
      <c r="EE99" s="176">
        <v>-706.2</v>
      </c>
      <c r="EG99" s="1216">
        <v>-706.6</v>
      </c>
      <c r="EH99" s="1217">
        <v>100</v>
      </c>
      <c r="EJ99" s="150">
        <v>45670</v>
      </c>
      <c r="EK99" s="1215">
        <v>200</v>
      </c>
      <c r="EL99" s="1210">
        <v>-706.2</v>
      </c>
      <c r="EN99" s="150">
        <v>45713</v>
      </c>
      <c r="EO99" s="1215">
        <v>300</v>
      </c>
      <c r="EP99" s="1210">
        <v>-690.9</v>
      </c>
    </row>
    <row r="100" spans="1:146" x14ac:dyDescent="0.3">
      <c r="B100" s="162" t="s">
        <v>666</v>
      </c>
      <c r="AA100" s="442" t="str">
        <v>Revenue</v>
      </c>
      <c r="DJ100" s="181">
        <v>45677</v>
      </c>
      <c r="DK100" s="133">
        <v>500</v>
      </c>
      <c r="DL100" s="176">
        <v>745.4</v>
      </c>
      <c r="DO100" s="1209">
        <v>200</v>
      </c>
      <c r="DP100" s="1210">
        <v>-706.6</v>
      </c>
      <c r="DS100" s="1213">
        <v>-647.29999999999995</v>
      </c>
      <c r="DT100" s="1214">
        <v>300</v>
      </c>
      <c r="DV100" s="150">
        <v>45726</v>
      </c>
      <c r="DW100" s="1215">
        <v>300</v>
      </c>
      <c r="DX100" s="1210">
        <v>-632.79999999999995</v>
      </c>
      <c r="DZ100" s="1211">
        <v>-647.1</v>
      </c>
      <c r="EA100" s="1212">
        <v>200</v>
      </c>
      <c r="EB100" s="1210"/>
      <c r="ED100" s="1209">
        <v>200</v>
      </c>
      <c r="EE100" s="1210">
        <v>-706.6</v>
      </c>
      <c r="EG100" s="1216">
        <v>-715.55</v>
      </c>
      <c r="EH100" s="1217">
        <v>200</v>
      </c>
      <c r="EJ100" s="150">
        <v>45713</v>
      </c>
      <c r="EK100" s="1215">
        <v>100</v>
      </c>
      <c r="EL100" s="1210">
        <v>-706.6</v>
      </c>
      <c r="EN100" s="150">
        <v>45706</v>
      </c>
      <c r="EO100" s="1215">
        <v>100</v>
      </c>
      <c r="EP100" s="1210">
        <v>-724.24</v>
      </c>
    </row>
    <row r="101" spans="1:146" x14ac:dyDescent="0.3">
      <c r="B101" s="162" t="s">
        <v>816</v>
      </c>
      <c r="C101" t="s">
        <v>709</v>
      </c>
      <c r="D101" t="s">
        <v>817</v>
      </c>
      <c r="AA101" s="442" t="str">
        <v>GLMore@A</v>
      </c>
      <c r="DJ101" s="181">
        <v>45679</v>
      </c>
      <c r="DK101" s="1215">
        <v>200</v>
      </c>
      <c r="DL101" s="1210">
        <v>748.4</v>
      </c>
      <c r="DO101" s="623">
        <v>100</v>
      </c>
      <c r="DP101" s="176">
        <v>-715.55</v>
      </c>
      <c r="DS101" s="1211">
        <v>-603.79999999999995</v>
      </c>
      <c r="DT101" s="1212">
        <v>200</v>
      </c>
      <c r="DV101" s="150">
        <v>45856</v>
      </c>
      <c r="DW101" s="1215">
        <v>100</v>
      </c>
      <c r="DX101" s="1210">
        <v>-632.95000000000005</v>
      </c>
      <c r="DZ101" s="1211">
        <v>-647.29999999999995</v>
      </c>
      <c r="EA101" s="1212">
        <v>300</v>
      </c>
      <c r="EB101" s="1210"/>
      <c r="ED101" s="623">
        <v>100</v>
      </c>
      <c r="EE101" s="176">
        <v>-715.55</v>
      </c>
      <c r="EG101" s="1216">
        <v>-717.1</v>
      </c>
      <c r="EH101" s="1217">
        <v>100</v>
      </c>
      <c r="EJ101" s="150">
        <v>45680</v>
      </c>
      <c r="EK101" s="1215">
        <v>200</v>
      </c>
      <c r="EL101" s="1210">
        <v>-715.55</v>
      </c>
      <c r="EN101" s="150">
        <v>45706</v>
      </c>
      <c r="EO101" s="1215">
        <v>100</v>
      </c>
      <c r="EP101" s="1210">
        <v>-717.1</v>
      </c>
    </row>
    <row r="102" spans="1:146" x14ac:dyDescent="0.3">
      <c r="B102" s="162" t="s">
        <v>818</v>
      </c>
      <c r="C102" t="s">
        <v>710</v>
      </c>
      <c r="AA102" s="442" t="str">
        <v>Ann%RevLB</v>
      </c>
      <c r="DJ102" s="181">
        <v>45680</v>
      </c>
      <c r="DK102" s="133">
        <v>200</v>
      </c>
      <c r="DL102" s="176">
        <v>-715.55</v>
      </c>
      <c r="DO102" s="1209">
        <v>100</v>
      </c>
      <c r="DP102" s="1210">
        <v>-717.1</v>
      </c>
      <c r="DS102" s="1213">
        <v>-695.5</v>
      </c>
      <c r="DT102" s="1214">
        <v>200</v>
      </c>
      <c r="DV102" s="150">
        <v>45856</v>
      </c>
      <c r="DW102" s="1215">
        <v>200</v>
      </c>
      <c r="DX102" s="1210">
        <v>-645.5</v>
      </c>
      <c r="DZ102" s="1211">
        <v>-653.70000000000005</v>
      </c>
      <c r="EA102" s="1212">
        <v>1000</v>
      </c>
      <c r="EB102" s="1210"/>
      <c r="ED102" s="1209">
        <v>100</v>
      </c>
      <c r="EE102" s="1210">
        <v>-717.1</v>
      </c>
      <c r="EG102" s="1216">
        <v>-724.24</v>
      </c>
      <c r="EH102" s="1217">
        <v>100</v>
      </c>
      <c r="EJ102" s="150">
        <v>45706</v>
      </c>
      <c r="EK102" s="1215">
        <v>100</v>
      </c>
      <c r="EL102" s="1210">
        <v>-717.1</v>
      </c>
      <c r="EN102" s="150">
        <v>45701</v>
      </c>
      <c r="EO102" s="1215">
        <v>100</v>
      </c>
      <c r="EP102" s="1210">
        <v>737.1</v>
      </c>
    </row>
    <row r="103" spans="1:146" x14ac:dyDescent="0.3">
      <c r="B103" s="162" t="s">
        <v>819</v>
      </c>
      <c r="C103" t="s">
        <v>711</v>
      </c>
      <c r="AA103" s="442" t="str">
        <v>Median</v>
      </c>
      <c r="DJ103" s="181">
        <v>45681</v>
      </c>
      <c r="DK103" s="1215">
        <v>500</v>
      </c>
      <c r="DL103" s="1210">
        <v>-701.05</v>
      </c>
      <c r="DS103" s="1211">
        <v>-632.95000000000005</v>
      </c>
      <c r="DT103" s="1212">
        <v>100</v>
      </c>
      <c r="DV103" s="150">
        <v>45684</v>
      </c>
      <c r="DW103" s="1215">
        <v>200</v>
      </c>
      <c r="DX103" s="1210">
        <v>-647.1</v>
      </c>
      <c r="DZ103" s="1211">
        <v>-690.9</v>
      </c>
      <c r="EA103" s="1212">
        <v>300</v>
      </c>
      <c r="EB103" s="1210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50">
        <v>45706</v>
      </c>
      <c r="EK103" s="1215">
        <v>100</v>
      </c>
      <c r="EL103" s="1210">
        <v>-724.24</v>
      </c>
      <c r="EN103" s="150">
        <v>45684</v>
      </c>
      <c r="EO103" s="1215">
        <v>200</v>
      </c>
      <c r="EP103" s="1210">
        <v>-647.1</v>
      </c>
    </row>
    <row r="104" spans="1:146" x14ac:dyDescent="0.3">
      <c r="B104" s="162" t="s">
        <v>820</v>
      </c>
      <c r="C104" t="s">
        <v>712</v>
      </c>
      <c r="DJ104" s="181">
        <v>45684</v>
      </c>
      <c r="DK104" s="133">
        <v>200</v>
      </c>
      <c r="DL104" s="176">
        <v>-647.1</v>
      </c>
      <c r="DS104" s="1213">
        <v>-645.5</v>
      </c>
      <c r="DT104" s="1214">
        <v>200</v>
      </c>
      <c r="DV104" s="150">
        <v>45743</v>
      </c>
      <c r="DW104" s="1215">
        <v>300</v>
      </c>
      <c r="DX104" s="1210">
        <v>-647.29999999999995</v>
      </c>
      <c r="DZ104" s="1211">
        <v>-695.5</v>
      </c>
      <c r="EA104" s="1212">
        <v>200</v>
      </c>
      <c r="EB104" s="1210"/>
      <c r="EJ104" s="150">
        <v>45575</v>
      </c>
      <c r="EK104" s="1215">
        <v>200</v>
      </c>
      <c r="EL104" s="1210">
        <v>-761.4</v>
      </c>
      <c r="EN104" s="150">
        <v>45681</v>
      </c>
      <c r="EO104" s="1215">
        <v>500</v>
      </c>
      <c r="EP104" s="1210">
        <v>-701.05</v>
      </c>
    </row>
    <row r="105" spans="1:146" x14ac:dyDescent="0.3">
      <c r="A105" s="101"/>
      <c r="B105" s="163" t="s">
        <v>718</v>
      </c>
      <c r="DJ105" s="181">
        <v>45701</v>
      </c>
      <c r="DK105" s="1215">
        <v>100</v>
      </c>
      <c r="DL105" s="1210">
        <v>737.1</v>
      </c>
      <c r="DS105" s="1211">
        <v>-602.54999999999995</v>
      </c>
      <c r="DT105" s="1212">
        <v>300</v>
      </c>
      <c r="DV105" s="150">
        <v>45583</v>
      </c>
      <c r="DW105" s="1215">
        <v>500</v>
      </c>
      <c r="DX105" s="1210">
        <v>-653.1</v>
      </c>
      <c r="DZ105" s="1211">
        <v>-701.05</v>
      </c>
      <c r="EA105" s="1212">
        <v>500</v>
      </c>
      <c r="EB105" s="1210"/>
      <c r="EJ105" s="150">
        <v>45506</v>
      </c>
      <c r="EK105" s="1215">
        <v>300</v>
      </c>
      <c r="EL105" s="1210">
        <v>-763.5</v>
      </c>
      <c r="EN105" s="150">
        <v>45680</v>
      </c>
      <c r="EO105" s="1215">
        <v>200</v>
      </c>
      <c r="EP105" s="1210">
        <v>-715.55</v>
      </c>
    </row>
    <row r="106" spans="1:146" x14ac:dyDescent="0.3">
      <c r="A106" s="101"/>
      <c r="B106" s="163" t="s">
        <v>713</v>
      </c>
      <c r="D106" t="s">
        <v>821</v>
      </c>
      <c r="DJ106" s="181">
        <v>45706</v>
      </c>
      <c r="DK106" s="133">
        <v>100</v>
      </c>
      <c r="DL106" s="176">
        <v>-724.24</v>
      </c>
      <c r="DS106" s="1213">
        <v>-599.29999999999995</v>
      </c>
      <c r="DT106" s="1214">
        <v>500</v>
      </c>
      <c r="DV106" s="150">
        <v>45593</v>
      </c>
      <c r="DW106" s="1215">
        <v>1000</v>
      </c>
      <c r="DX106" s="1210">
        <v>-653.70000000000005</v>
      </c>
      <c r="DZ106" s="1211">
        <v>-706.2</v>
      </c>
      <c r="EA106" s="1212">
        <v>200</v>
      </c>
      <c r="EB106" s="1210"/>
      <c r="EJ106" s="150">
        <v>45531</v>
      </c>
      <c r="EK106" s="1215">
        <v>300</v>
      </c>
      <c r="EL106" s="1210">
        <v>-791.4</v>
      </c>
      <c r="EN106" s="150">
        <v>45679</v>
      </c>
      <c r="EO106" s="1215">
        <v>200</v>
      </c>
      <c r="EP106" s="1210">
        <v>748.4</v>
      </c>
    </row>
    <row r="107" spans="1:146" x14ac:dyDescent="0.3">
      <c r="B107" s="162" t="s">
        <v>822</v>
      </c>
      <c r="DJ107" s="181">
        <v>45706</v>
      </c>
      <c r="DK107" s="1215">
        <v>100</v>
      </c>
      <c r="DL107" s="1210">
        <v>-717.1</v>
      </c>
      <c r="DS107" s="1211">
        <v>636.70000000000005</v>
      </c>
      <c r="DT107" s="1212"/>
      <c r="DV107" s="150">
        <v>45713</v>
      </c>
      <c r="DW107" s="1215">
        <v>300</v>
      </c>
      <c r="DX107" s="1210">
        <v>-690.9</v>
      </c>
      <c r="DZ107" s="1211">
        <v>-706.6</v>
      </c>
      <c r="EA107" s="1212">
        <v>100</v>
      </c>
      <c r="EB107" s="1210"/>
      <c r="EJ107" s="150">
        <v>45495</v>
      </c>
      <c r="EK107" s="1215">
        <v>500</v>
      </c>
      <c r="EL107" s="1210">
        <v>-857.1</v>
      </c>
      <c r="EN107" s="150">
        <v>45677</v>
      </c>
      <c r="EO107" s="1215">
        <v>500</v>
      </c>
      <c r="EP107" s="1210">
        <v>745.4</v>
      </c>
    </row>
    <row r="108" spans="1:146" x14ac:dyDescent="0.3">
      <c r="B108" s="162" t="s">
        <v>823</v>
      </c>
      <c r="C108" t="s">
        <v>715</v>
      </c>
      <c r="D108" t="s">
        <v>824</v>
      </c>
      <c r="DJ108" s="1067">
        <v>45713</v>
      </c>
      <c r="DK108" s="133">
        <v>100</v>
      </c>
      <c r="DL108" s="176">
        <v>-706.6</v>
      </c>
      <c r="DS108" s="1213">
        <v>646.20000000000005</v>
      </c>
      <c r="DT108" s="1214"/>
      <c r="DV108" s="150">
        <v>45833</v>
      </c>
      <c r="DW108" s="1215">
        <v>200</v>
      </c>
      <c r="DX108" s="1210">
        <v>-695.5</v>
      </c>
      <c r="DZ108" s="1211">
        <v>-715.55</v>
      </c>
      <c r="EA108" s="1212">
        <v>200</v>
      </c>
      <c r="EB108" s="1210"/>
      <c r="EJ108" s="150">
        <v>45491</v>
      </c>
      <c r="EK108" s="1215">
        <v>500</v>
      </c>
      <c r="EL108" s="1210">
        <v>-860.48699999999997</v>
      </c>
      <c r="EN108" s="150">
        <v>45670</v>
      </c>
      <c r="EO108" s="1215">
        <v>200</v>
      </c>
      <c r="EP108" s="1210">
        <v>-706.2</v>
      </c>
    </row>
    <row r="109" spans="1:146" x14ac:dyDescent="0.3">
      <c r="B109" s="162" t="s">
        <v>716</v>
      </c>
      <c r="DJ109" s="1067">
        <v>45713</v>
      </c>
      <c r="DK109" s="1215">
        <v>300</v>
      </c>
      <c r="DL109" s="1210">
        <v>-690.9</v>
      </c>
      <c r="DS109" s="1211">
        <v>-622.20000000000005</v>
      </c>
      <c r="DT109" s="1212">
        <v>500</v>
      </c>
      <c r="DV109" s="150">
        <v>45681</v>
      </c>
      <c r="DW109" s="1215">
        <v>500</v>
      </c>
      <c r="DX109" s="1210">
        <v>-701.05</v>
      </c>
      <c r="DZ109" s="1211">
        <v>-717.1</v>
      </c>
      <c r="EA109" s="1212">
        <v>100</v>
      </c>
      <c r="EB109" s="1210"/>
      <c r="EJ109" s="150">
        <v>45490</v>
      </c>
      <c r="EK109" s="1215">
        <v>500</v>
      </c>
      <c r="EL109" s="1210">
        <v>-879.74199999999996</v>
      </c>
      <c r="EN109" s="150">
        <v>45663</v>
      </c>
      <c r="EO109" s="1215">
        <v>200</v>
      </c>
      <c r="EP109" s="1210">
        <v>729.4</v>
      </c>
    </row>
    <row r="110" spans="1:146" x14ac:dyDescent="0.3">
      <c r="B110" s="162" t="s">
        <v>825</v>
      </c>
      <c r="C110" t="s">
        <v>714</v>
      </c>
      <c r="DJ110" s="1067">
        <v>45726</v>
      </c>
      <c r="DK110" s="133">
        <v>300</v>
      </c>
      <c r="DL110" s="176">
        <v>-632.79999999999995</v>
      </c>
      <c r="DS110" s="1213">
        <v>667.2</v>
      </c>
      <c r="DT110" s="1214"/>
      <c r="DV110" s="150">
        <v>45670</v>
      </c>
      <c r="DW110" s="1215">
        <v>200</v>
      </c>
      <c r="DX110" s="1210">
        <v>-706.2</v>
      </c>
      <c r="DZ110" s="1211">
        <v>-724.24</v>
      </c>
      <c r="EA110" s="1212">
        <v>100</v>
      </c>
      <c r="EB110" s="1210"/>
      <c r="EJ110" s="150">
        <v>40544</v>
      </c>
      <c r="EK110" s="1215">
        <v>500</v>
      </c>
      <c r="EL110" s="1210">
        <v>-896.1</v>
      </c>
      <c r="EN110" s="150">
        <v>45593</v>
      </c>
      <c r="EO110" s="1215">
        <v>1000</v>
      </c>
      <c r="EP110" s="1210">
        <v>-653.70000000000005</v>
      </c>
    </row>
    <row r="111" spans="1:146" x14ac:dyDescent="0.3">
      <c r="B111" s="162" t="s">
        <v>826</v>
      </c>
      <c r="C111" t="s">
        <v>717</v>
      </c>
      <c r="DJ111" s="1067">
        <v>45735</v>
      </c>
      <c r="DK111" s="1215">
        <v>300</v>
      </c>
      <c r="DL111" s="1210">
        <v>667.6</v>
      </c>
      <c r="DV111" s="150">
        <v>45713</v>
      </c>
      <c r="DW111" s="1215">
        <v>100</v>
      </c>
      <c r="DX111" s="1210">
        <v>-706.6</v>
      </c>
      <c r="DZ111" s="1211">
        <v>0</v>
      </c>
      <c r="EA111" s="1212">
        <v>0</v>
      </c>
      <c r="EB111" s="1210"/>
      <c r="EJ111" s="150">
        <v>45468</v>
      </c>
      <c r="EK111" s="1215">
        <v>500</v>
      </c>
      <c r="EL111" s="1210">
        <v>-945</v>
      </c>
      <c r="EN111" s="150">
        <v>45583</v>
      </c>
      <c r="EO111" s="1215">
        <v>500</v>
      </c>
      <c r="EP111" s="1210">
        <v>-653.1</v>
      </c>
    </row>
    <row r="112" spans="1:146" x14ac:dyDescent="0.3">
      <c r="B112" s="162" t="s">
        <v>827</v>
      </c>
      <c r="DJ112" s="1067">
        <v>45743</v>
      </c>
      <c r="DK112" s="133">
        <v>300</v>
      </c>
      <c r="DL112" s="176">
        <v>-647.29999999999995</v>
      </c>
      <c r="DV112" s="150">
        <v>45680</v>
      </c>
      <c r="DW112" s="1215">
        <v>200</v>
      </c>
      <c r="DX112" s="1210">
        <v>-715.55</v>
      </c>
      <c r="DZ112" s="1211">
        <v>0</v>
      </c>
      <c r="EA112" s="1212">
        <v>0</v>
      </c>
      <c r="EB112" s="1210"/>
      <c r="EK112">
        <f>SUMIF(EK85:EK94,"&gt;"&amp;$EG$95,EK85:EK94)</f>
        <v>3100</v>
      </c>
      <c r="EN112" s="150">
        <v>45575</v>
      </c>
      <c r="EO112" s="1215">
        <v>200</v>
      </c>
      <c r="EP112" s="1210">
        <v>-761.4</v>
      </c>
    </row>
    <row r="113" spans="1:146" x14ac:dyDescent="0.3">
      <c r="B113" s="162" t="s">
        <v>828</v>
      </c>
      <c r="DJ113" s="1067">
        <v>45749</v>
      </c>
      <c r="DK113" s="1215">
        <v>200</v>
      </c>
      <c r="DL113" s="1210">
        <v>-603.79999999999995</v>
      </c>
      <c r="DV113" s="150">
        <v>45706</v>
      </c>
      <c r="DW113" s="1215">
        <v>100</v>
      </c>
      <c r="DX113" s="1210">
        <v>-717.1</v>
      </c>
      <c r="DZ113" s="1211">
        <v>0</v>
      </c>
      <c r="EA113" s="1212">
        <v>0</v>
      </c>
      <c r="EB113" s="1210"/>
      <c r="EN113" s="150">
        <v>45531</v>
      </c>
      <c r="EO113" s="1215">
        <v>300</v>
      </c>
      <c r="EP113" s="1210">
        <v>-791.4</v>
      </c>
    </row>
    <row r="114" spans="1:146" x14ac:dyDescent="0.3">
      <c r="B114" s="162" t="s">
        <v>829</v>
      </c>
      <c r="C114" t="s">
        <v>719</v>
      </c>
      <c r="DJ114" s="1067">
        <v>45833</v>
      </c>
      <c r="DK114" s="133">
        <v>200</v>
      </c>
      <c r="DL114" s="176">
        <v>-695.5</v>
      </c>
      <c r="DV114" s="150">
        <v>45706</v>
      </c>
      <c r="DW114" s="1215">
        <v>100</v>
      </c>
      <c r="DX114" s="1210">
        <v>-724.24</v>
      </c>
      <c r="DZ114" s="1211">
        <v>0</v>
      </c>
      <c r="EA114" s="1212">
        <v>0</v>
      </c>
      <c r="EB114" s="1210"/>
      <c r="EN114" s="150">
        <v>45523</v>
      </c>
      <c r="EO114" s="1215">
        <v>300</v>
      </c>
      <c r="EP114" s="1210">
        <v>826.52670000000001</v>
      </c>
    </row>
    <row r="115" spans="1:146" x14ac:dyDescent="0.3">
      <c r="B115" s="162" t="s">
        <v>830</v>
      </c>
      <c r="C115" t="s">
        <v>720</v>
      </c>
      <c r="DJ115" s="1067">
        <v>45856</v>
      </c>
      <c r="DK115" s="1215">
        <v>100</v>
      </c>
      <c r="DL115" s="1210">
        <v>-632.95000000000005</v>
      </c>
      <c r="DV115" s="150">
        <v>45575</v>
      </c>
      <c r="DW115" s="1215">
        <v>200</v>
      </c>
      <c r="DX115" s="1210">
        <v>-761.4</v>
      </c>
      <c r="DZ115" s="1211">
        <v>0</v>
      </c>
      <c r="EA115" s="1212">
        <v>0</v>
      </c>
      <c r="EB115" s="1210"/>
      <c r="EN115" s="150">
        <v>45506</v>
      </c>
      <c r="EO115" s="1215">
        <v>300</v>
      </c>
      <c r="EP115" s="1210">
        <v>-763.5</v>
      </c>
    </row>
    <row r="116" spans="1:146" x14ac:dyDescent="0.3">
      <c r="B116" s="162" t="s">
        <v>831</v>
      </c>
      <c r="C116" t="s">
        <v>721</v>
      </c>
      <c r="D116" t="s">
        <v>832</v>
      </c>
      <c r="DJ116" s="1067">
        <v>45856</v>
      </c>
      <c r="DK116" s="133">
        <v>200</v>
      </c>
      <c r="DL116" s="176">
        <v>-645.5</v>
      </c>
      <c r="DV116" s="150">
        <v>45506</v>
      </c>
      <c r="DW116" s="1215">
        <v>300</v>
      </c>
      <c r="DX116" s="1210">
        <v>-763.5</v>
      </c>
      <c r="DZ116" s="1211">
        <v>0</v>
      </c>
      <c r="EA116" s="1212">
        <v>0</v>
      </c>
      <c r="EB116" s="1210"/>
      <c r="EN116" s="150">
        <v>45495</v>
      </c>
      <c r="EO116" s="1215">
        <v>500</v>
      </c>
      <c r="EP116" s="1210">
        <v>-857.1</v>
      </c>
    </row>
    <row r="117" spans="1:146" x14ac:dyDescent="0.3">
      <c r="B117" s="162" t="s">
        <v>833</v>
      </c>
      <c r="C117" t="s">
        <v>722</v>
      </c>
      <c r="D117" t="s">
        <v>834</v>
      </c>
      <c r="DJ117" s="1067">
        <v>45860</v>
      </c>
      <c r="DK117" s="1215">
        <v>300</v>
      </c>
      <c r="DL117" s="1210">
        <v>-602.54999999999995</v>
      </c>
      <c r="DV117" s="150">
        <v>45531</v>
      </c>
      <c r="DW117" s="1215">
        <v>300</v>
      </c>
      <c r="DX117" s="1210">
        <v>-791.4</v>
      </c>
      <c r="DZ117" s="1211">
        <v>0</v>
      </c>
      <c r="EA117" s="1212">
        <v>0</v>
      </c>
      <c r="EN117" s="150">
        <v>45491</v>
      </c>
      <c r="EO117" s="1215">
        <v>500</v>
      </c>
      <c r="EP117" s="1210">
        <v>-860.48699999999997</v>
      </c>
    </row>
    <row r="118" spans="1:146" x14ac:dyDescent="0.3">
      <c r="B118" s="162" t="s">
        <v>835</v>
      </c>
      <c r="C118" t="s">
        <v>723</v>
      </c>
      <c r="D118" t="s">
        <v>836</v>
      </c>
      <c r="DJ118" s="1067">
        <v>45874</v>
      </c>
      <c r="DK118" s="133">
        <v>500</v>
      </c>
      <c r="DL118" s="176">
        <v>-599.29999999999995</v>
      </c>
      <c r="DV118" s="150">
        <v>45495</v>
      </c>
      <c r="DW118" s="1215">
        <v>500</v>
      </c>
      <c r="DX118" s="1210">
        <v>-857.1</v>
      </c>
      <c r="DZ118" s="1211">
        <v>0</v>
      </c>
      <c r="EA118" s="1212">
        <v>0</v>
      </c>
      <c r="EN118" s="150">
        <v>45490</v>
      </c>
      <c r="EO118" s="1215">
        <v>500</v>
      </c>
      <c r="EP118" s="1210">
        <v>-879.74199999999996</v>
      </c>
    </row>
    <row r="119" spans="1:146" x14ac:dyDescent="0.3">
      <c r="B119" s="162" t="s">
        <v>725</v>
      </c>
      <c r="D119" t="s">
        <v>837</v>
      </c>
      <c r="DJ119" s="1067">
        <v>45888</v>
      </c>
      <c r="DK119" s="1215">
        <v>500</v>
      </c>
      <c r="DL119" s="1210">
        <v>636.70000000000005</v>
      </c>
      <c r="DV119" s="150">
        <v>45491</v>
      </c>
      <c r="DW119" s="1215">
        <v>500</v>
      </c>
      <c r="DX119" s="1210">
        <v>-860.48699999999997</v>
      </c>
      <c r="DZ119" s="1211">
        <v>0</v>
      </c>
      <c r="EA119" s="1212">
        <v>0</v>
      </c>
      <c r="EN119" s="150">
        <v>45476</v>
      </c>
      <c r="EO119" s="1215">
        <v>510</v>
      </c>
      <c r="EP119" s="1210">
        <v>982.8</v>
      </c>
    </row>
    <row r="120" spans="1:146" x14ac:dyDescent="0.3">
      <c r="B120" s="162" t="s">
        <v>838</v>
      </c>
      <c r="C120" t="s">
        <v>1022</v>
      </c>
      <c r="DJ120" s="1067">
        <v>45895</v>
      </c>
      <c r="DK120" s="133">
        <v>500</v>
      </c>
      <c r="DL120" s="176">
        <v>646.20000000000005</v>
      </c>
      <c r="DV120" s="150">
        <v>45490</v>
      </c>
      <c r="DW120" s="1215">
        <v>500</v>
      </c>
      <c r="DX120" s="1210">
        <v>-879.74199999999996</v>
      </c>
      <c r="DZ120" s="1211">
        <v>0</v>
      </c>
      <c r="EA120" s="1212">
        <v>0</v>
      </c>
      <c r="EN120" s="150">
        <v>45468</v>
      </c>
      <c r="EO120" s="1215">
        <v>500</v>
      </c>
      <c r="EP120" s="1210">
        <v>-945</v>
      </c>
    </row>
    <row r="121" spans="1:146" x14ac:dyDescent="0.3">
      <c r="B121" s="162" t="s">
        <v>839</v>
      </c>
      <c r="DJ121" s="150">
        <v>45902</v>
      </c>
      <c r="DK121" s="1215">
        <v>500</v>
      </c>
      <c r="DL121" s="862">
        <v>-622.20000000000005</v>
      </c>
      <c r="DV121" s="150">
        <v>40544</v>
      </c>
      <c r="DW121" s="1215">
        <v>500</v>
      </c>
      <c r="DX121" s="1210">
        <v>-896.1</v>
      </c>
      <c r="DZ121" s="1211">
        <v>0</v>
      </c>
      <c r="EA121" s="1212">
        <v>0</v>
      </c>
      <c r="EN121" s="150">
        <v>45453</v>
      </c>
      <c r="EO121" s="1215">
        <v>490</v>
      </c>
      <c r="EP121" s="1210">
        <v>954.5</v>
      </c>
    </row>
    <row r="122" spans="1:146" x14ac:dyDescent="0.3">
      <c r="B122" s="162" t="s">
        <v>840</v>
      </c>
      <c r="DJ122" s="150">
        <v>45908</v>
      </c>
      <c r="DK122" s="133">
        <v>200</v>
      </c>
      <c r="DL122" s="862">
        <v>667.2</v>
      </c>
      <c r="DV122" s="150">
        <v>45468</v>
      </c>
      <c r="DW122" s="1215">
        <v>500</v>
      </c>
      <c r="DX122" s="1210">
        <v>-945</v>
      </c>
      <c r="DZ122" s="1211">
        <v>0</v>
      </c>
      <c r="EA122" s="1212">
        <v>0</v>
      </c>
      <c r="EN122" s="150">
        <v>40544</v>
      </c>
      <c r="EO122" s="1215">
        <v>500</v>
      </c>
      <c r="EP122" s="1210">
        <v>-896.1</v>
      </c>
    </row>
    <row r="123" spans="1:146" x14ac:dyDescent="0.3">
      <c r="B123" s="162" t="s">
        <v>841</v>
      </c>
    </row>
    <row r="124" spans="1:146" x14ac:dyDescent="0.3">
      <c r="B124" s="162" t="s">
        <v>842</v>
      </c>
    </row>
    <row r="126" spans="1:146" x14ac:dyDescent="0.3">
      <c r="A126" t="s">
        <v>1712</v>
      </c>
    </row>
    <row r="127" spans="1:146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3</v>
      </c>
      <c r="C3">
        <f>_xlfn.RANK.EQ(DataShift!Y698,DataShift!F698:Y698)</f>
        <v>3</v>
      </c>
      <c r="D3">
        <f>_xlfn.RANK.EQ(DataShift!AU599,DataShift!AB599:AU599)</f>
        <v>5</v>
      </c>
      <c r="G3">
        <f>_xlfn.RANK.EQ(DataShift!Y203,DataShift!F203:Y203)</f>
        <v>6</v>
      </c>
      <c r="H3">
        <f>_xlfn.RANK.AVG(DataShift!Y203,DataShift!F203:Y203)</f>
        <v>6</v>
      </c>
      <c r="I3" s="99">
        <f>_xlfn.PERCENTRANK.INC(DataShift!F203:Y203,DataShift!Y203)</f>
        <v>0.73599999999999999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3</v>
      </c>
      <c r="C4">
        <f>_xlfn.RANK.EQ(DataShift!Y699,DataShift!F699:Y699)</f>
        <v>8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1.5</v>
      </c>
      <c r="I4" s="99">
        <f>_xlfn.PERCENTRANK.INC(DataShift!F204:Y204,DataShift!Y204)</f>
        <v>0.94699999999999995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15</v>
      </c>
      <c r="C5">
        <f>_xlfn.RANK.EQ(DataShift!Y700,DataShift!F700:Y700)</f>
        <v>7</v>
      </c>
      <c r="D5">
        <f>_xlfn.RANK.EQ(DataShift!AU601,DataShift!AB601:AU601)</f>
        <v>14</v>
      </c>
      <c r="G5">
        <f>_xlfn.RANK.EQ(DataShift!Y205,DataShift!F205:Y205)</f>
        <v>6</v>
      </c>
      <c r="H5">
        <f>_xlfn.RANK.AVG(DataShift!Y205,DataShift!F205:Y205)</f>
        <v>6.5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2</v>
      </c>
      <c r="C6">
        <f>_xlfn.RANK.EQ(DataShift!Y701,DataShift!F701:Y701)</f>
        <v>14</v>
      </c>
      <c r="D6">
        <f>_xlfn.RANK.EQ(DataShift!AU602,DataShift!AB602:AU602)</f>
        <v>1</v>
      </c>
      <c r="G6">
        <f>_xlfn.RANK.EQ(DataShift!Y206,DataShift!F206:Y206)</f>
        <v>13</v>
      </c>
      <c r="H6">
        <f>_xlfn.RANK.AVG(DataShift!Y206,DataShift!F206:Y206)</f>
        <v>13</v>
      </c>
      <c r="I6" s="99">
        <f>_xlfn.PERCENTRANK.INC(DataShift!F206:Y206,DataShift!Y206)</f>
        <v>0.36799999999999999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19</v>
      </c>
      <c r="C7">
        <f>_xlfn.RANK.EQ(DataShift!Y702,DataShift!F702:Y702)</f>
        <v>6</v>
      </c>
      <c r="D7">
        <f>_xlfn.RANK.EQ(DataShift!AU603,DataShift!AB603:AU603)</f>
        <v>2</v>
      </c>
      <c r="G7">
        <f>_xlfn.RANK.EQ(DataShift!Y207,DataShift!F207:Y207)</f>
        <v>18</v>
      </c>
      <c r="H7">
        <f>_xlfn.RANK.AVG(DataShift!Y207,DataShift!F207:Y207)</f>
        <v>18.5</v>
      </c>
      <c r="I7" s="99">
        <f>_xlfn.PERCENTRANK.INC(DataShift!F207:Y207,DataShift!Y207)</f>
        <v>5.1999999999999998E-2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12</v>
      </c>
      <c r="C8">
        <f>_xlfn.RANK.EQ(DataShift!Y703,DataShift!F703:Y703)</f>
        <v>11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1</v>
      </c>
      <c r="C9">
        <f>_xlfn.RANK.EQ(DataShift!Y704,DataShift!F704:Y704)</f>
        <v>20</v>
      </c>
      <c r="D9">
        <f>_xlfn.RANK.EQ(DataShift!AU605,DataShift!AB605:AU605)</f>
        <v>1</v>
      </c>
      <c r="G9">
        <f>_xlfn.RANK.EQ(DataShift!Y209,DataShift!F209:Y209)</f>
        <v>16</v>
      </c>
      <c r="H9">
        <f>_xlfn.RANK.AVG(DataShift!Y209,DataShift!F209:Y209)</f>
        <v>16</v>
      </c>
      <c r="I9" s="99">
        <f>_xlfn.PERCENTRANK.INC(DataShift!F209:Y209,DataShift!Y209)</f>
        <v>0.21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3</v>
      </c>
      <c r="C10">
        <f>_xlfn.RANK.EQ(DataShift!Y705,DataShift!F705:Y705)</f>
        <v>8</v>
      </c>
      <c r="D10">
        <f>_xlfn.RANK.EQ(DataShift!AU606,DataShift!AB606:AU606)</f>
        <v>20</v>
      </c>
      <c r="G10">
        <f>_xlfn.RANK.EQ(DataShift!Y210,DataShift!F210:Y210)</f>
        <v>1</v>
      </c>
      <c r="H10">
        <f>_xlfn.RANK.AVG(DataShift!Y210,DataShift!F210:Y210)</f>
        <v>1</v>
      </c>
      <c r="I10" s="99">
        <f>_xlfn.PERCENTRANK.INC(DataShift!F210:Y210,DataShift!Y210)</f>
        <v>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17</v>
      </c>
      <c r="C11">
        <f>_xlfn.RANK.EQ(DataShift!Y706,DataShift!F706:Y706)</f>
        <v>6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6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3</v>
      </c>
      <c r="C13">
        <f>_xlfn.RANK.EQ(DataShift!Y708,DataShift!F708:Y708)</f>
        <v>18</v>
      </c>
      <c r="D13">
        <f>_xlfn.RANK.EQ(DataShift!AU609,DataShift!AB609:AU609)</f>
        <v>1</v>
      </c>
      <c r="G13">
        <f>_xlfn.RANK.EQ(DataShift!Y213,DataShift!F213:Y213)</f>
        <v>19</v>
      </c>
      <c r="H13">
        <f>_xlfn.RANK.AVG(DataShift!Y213,DataShift!F213:Y213)</f>
        <v>19</v>
      </c>
      <c r="I13" s="99">
        <f>_xlfn.PERCENTRANK.INC(DataShift!F213:Y213,DataShift!Y213)</f>
        <v>5.1999999999999998E-2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5</v>
      </c>
      <c r="C14">
        <f>_xlfn.RANK.EQ(DataShift!Y709,DataShift!F709:Y709)</f>
        <v>14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15</v>
      </c>
      <c r="C15">
        <f>_xlfn.RANK.EQ(DataShift!Y710,DataShift!F710:Y710)</f>
        <v>9</v>
      </c>
      <c r="D15">
        <f>_xlfn.RANK.EQ(DataShift!AU611,DataShift!AB611:AU611)</f>
        <v>10</v>
      </c>
      <c r="G15">
        <f>_xlfn.RANK.EQ(DataShift!Y215,DataShift!F215:Y215)</f>
        <v>5</v>
      </c>
      <c r="H15">
        <f>_xlfn.RANK.AVG(DataShift!Y215,DataShift!F215:Y215)</f>
        <v>5</v>
      </c>
      <c r="I15" s="99">
        <f>_xlfn.PERCENTRANK.INC(DataShift!F215:Y215,DataShift!Y215)</f>
        <v>0.78900000000000003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1</v>
      </c>
      <c r="C16">
        <f>_xlfn.RANK.EQ(DataShift!Y711,DataShift!F711:Y711)</f>
        <v>16</v>
      </c>
      <c r="D16">
        <f>_xlfn.RANK.EQ(DataShift!AU612,DataShift!AB612:AU612)</f>
        <v>2</v>
      </c>
      <c r="G16">
        <f>_xlfn.RANK.EQ(DataShift!Y216,DataShift!F216:Y216)</f>
        <v>19</v>
      </c>
      <c r="H16">
        <f>_xlfn.RANK.AVG(DataShift!Y216,DataShift!F216:Y216)</f>
        <v>19</v>
      </c>
      <c r="I16" s="99">
        <f>_xlfn.PERCENTRANK.INC(DataShift!F216:Y216,DataShift!Y216)</f>
        <v>5.1999999999999998E-2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9</v>
      </c>
      <c r="C17">
        <f>_xlfn.RANK.EQ(DataShift!Y712,DataShift!F712:Y712)</f>
        <v>8</v>
      </c>
      <c r="D17">
        <f>_xlfn.RANK.EQ(DataShift!AU613,DataShift!AB613:AU613)</f>
        <v>19</v>
      </c>
      <c r="G17">
        <f>_xlfn.RANK.EQ(DataShift!Y217,DataShift!F217:Y217)</f>
        <v>2</v>
      </c>
      <c r="H17">
        <f>_xlfn.RANK.AVG(DataShift!Y217,DataShift!F217:Y217)</f>
        <v>2</v>
      </c>
      <c r="I17" s="99">
        <f>_xlfn.PERCENTRANK.INC(DataShift!F217:Y217,DataShift!Y217)</f>
        <v>0.94699999999999995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6</v>
      </c>
      <c r="C18">
        <f>_xlfn.RANK.EQ(DataShift!Y713,DataShift!F713:Y713)</f>
        <v>10</v>
      </c>
      <c r="D18">
        <f>_xlfn.RANK.EQ(DataShift!AU614,DataShift!AB614:AU614)</f>
        <v>16</v>
      </c>
      <c r="G18">
        <f>_xlfn.RANK.EQ(DataShift!Y218,DataShift!F218:Y218)</f>
        <v>19</v>
      </c>
      <c r="H18">
        <f>_xlfn.RANK.AVG(DataShift!Y218,DataShift!F218:Y218)</f>
        <v>19</v>
      </c>
      <c r="I18" s="99">
        <f>_xlfn.PERCENTRANK.INC(DataShift!F218:Y218,DataShift!Y218)</f>
        <v>5.1999999999999998E-2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3</v>
      </c>
      <c r="C19">
        <f>_xlfn.RANK.EQ(DataShift!Y714,DataShift!F714:Y714)</f>
        <v>20</v>
      </c>
      <c r="D19">
        <f>_xlfn.RANK.EQ(DataShift!AU615,DataShift!AB615:AU615)</f>
        <v>16</v>
      </c>
      <c r="G19">
        <f>_xlfn.RANK.EQ(DataShift!Y219,DataShift!F219:Y219)</f>
        <v>14</v>
      </c>
      <c r="H19">
        <f>_xlfn.RANK.AVG(DataShift!Y219,DataShift!F219:Y219)</f>
        <v>14</v>
      </c>
      <c r="I19" s="99">
        <f>_xlfn.PERCENTRANK.INC(DataShift!F219:Y219,DataShift!Y219)</f>
        <v>0.315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3</v>
      </c>
      <c r="C20">
        <f>_xlfn.RANK.EQ(DataShift!Y715,DataShift!F715:Y715)</f>
        <v>1</v>
      </c>
      <c r="D20">
        <f>_xlfn.RANK.EQ(DataShift!AU616,DataShift!AB616:AU616)</f>
        <v>10</v>
      </c>
      <c r="G20">
        <f>_xlfn.RANK.EQ(DataShift!Y220,DataShift!F220:Y220)</f>
        <v>9</v>
      </c>
      <c r="H20">
        <f>_xlfn.RANK.AVG(DataShift!Y220,DataShift!F220:Y220)</f>
        <v>9</v>
      </c>
      <c r="I20" s="99">
        <f>_xlfn.PERCENTRANK.INC(DataShift!F220:Y220,DataShift!Y220)</f>
        <v>0.57799999999999996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16</v>
      </c>
      <c r="C21">
        <f>_xlfn.RANK.EQ(DataShift!Y716,DataShift!F716:Y716)</f>
        <v>13</v>
      </c>
      <c r="D21">
        <f>_xlfn.RANK.EQ(DataShift!AU617,DataShift!AB617:AU617)</f>
        <v>1</v>
      </c>
      <c r="G21">
        <f>_xlfn.RANK.EQ(DataShift!Y221,DataShift!F221:Y221)</f>
        <v>20</v>
      </c>
      <c r="H21">
        <f>_xlfn.RANK.AVG(DataShift!Y221,DataShift!F221:Y221)</f>
        <v>20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1</v>
      </c>
      <c r="C22">
        <f>_xlfn.RANK.EQ(DataShift!Y717,DataShift!F717:Y717)</f>
        <v>14</v>
      </c>
      <c r="D22">
        <f>_xlfn.RANK.EQ(DataShift!AU618,DataShift!AB618:AU618)</f>
        <v>4</v>
      </c>
      <c r="G22">
        <f>_xlfn.RANK.EQ(DataShift!Y222,DataShift!F222:Y222)</f>
        <v>5</v>
      </c>
      <c r="H22">
        <f>_xlfn.RANK.AVG(DataShift!Y222,DataShift!F222:Y222)</f>
        <v>5</v>
      </c>
      <c r="I22" s="99">
        <f>_xlfn.PERCENTRANK.INC(DataShift!F222:Y222,DataShift!Y222)</f>
        <v>0.78900000000000003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7</v>
      </c>
      <c r="C23">
        <f>_xlfn.RANK.EQ(DataShift!Y718,DataShift!F718:Y718)</f>
        <v>14</v>
      </c>
      <c r="D23">
        <f>_xlfn.RANK.EQ(DataShift!AU619,DataShift!AB619:AU619)</f>
        <v>19</v>
      </c>
      <c r="G23">
        <f>_xlfn.RANK.EQ(DataShift!Y223,DataShift!F223:Y223)</f>
        <v>2</v>
      </c>
      <c r="H23">
        <f>_xlfn.RANK.AVG(DataShift!Y223,DataShift!F223:Y223)</f>
        <v>2</v>
      </c>
      <c r="I23" s="99">
        <f>_xlfn.PERCENTRANK.INC(DataShift!F223:Y223,DataShift!Y223)</f>
        <v>0.94699999999999995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17</v>
      </c>
      <c r="D24">
        <f>_xlfn.RANK.EQ(DataShift!AU620,DataShift!AB620:AU620)</f>
        <v>9</v>
      </c>
      <c r="G24">
        <f>_xlfn.RANK.EQ(DataShift!Y224,DataShift!F224:Y224)</f>
        <v>10</v>
      </c>
      <c r="H24">
        <f>_xlfn.RANK.AVG(DataShift!Y224,DataShift!F224:Y224)</f>
        <v>10</v>
      </c>
      <c r="I24" s="99">
        <f>_xlfn.PERCENTRANK.INC(DataShift!F224:Y224,DataShift!Y224)</f>
        <v>0.52600000000000002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14</v>
      </c>
      <c r="C25">
        <f>_xlfn.RANK.EQ(DataShift!Y720,DataShift!F720:Y720)</f>
        <v>14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6</v>
      </c>
      <c r="C26">
        <f>_xlfn.RANK.EQ(DataShift!Y721,DataShift!F721:Y721)</f>
        <v>1</v>
      </c>
      <c r="D26">
        <f>_xlfn.RANK.EQ(DataShift!AU622,DataShift!AB622:AU622)</f>
        <v>6</v>
      </c>
      <c r="G26">
        <f>_xlfn.RANK.EQ(DataShift!Y226,DataShift!F226:Y226)</f>
        <v>10</v>
      </c>
      <c r="H26">
        <f>_xlfn.RANK.AVG(DataShift!Y226,DataShift!F226:Y226)</f>
        <v>10</v>
      </c>
      <c r="I26" s="99">
        <f>_xlfn.PERCENTRANK.INC(DataShift!F226:Y226,DataShift!Y226)</f>
        <v>0.52600000000000002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11</v>
      </c>
      <c r="C27">
        <f>_xlfn.RANK.EQ(DataShift!Y722,DataShift!F722:Y722)</f>
        <v>1</v>
      </c>
      <c r="D27">
        <f>_xlfn.RANK.EQ(DataShift!AU623,DataShift!AB623:AU623)</f>
        <v>12</v>
      </c>
      <c r="G27">
        <f>_xlfn.RANK.EQ(DataShift!Y227,DataShift!F227:Y227)</f>
        <v>9</v>
      </c>
      <c r="H27">
        <f>_xlfn.RANK.AVG(DataShift!Y227,DataShift!F227:Y227)</f>
        <v>9</v>
      </c>
      <c r="I27" s="99">
        <f>_xlfn.PERCENTRANK.INC(DataShift!F227:Y227,DataShift!Y227)</f>
        <v>0.57799999999999996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6</v>
      </c>
      <c r="C28">
        <f>_xlfn.RANK.EQ(DataShift!Y723,DataShift!F723:Y723)</f>
        <v>10</v>
      </c>
      <c r="D28">
        <f>_xlfn.RANK.EQ(DataShift!AU624,DataShift!AB624:AU624)</f>
        <v>18</v>
      </c>
      <c r="G28">
        <f>_xlfn.RANK.EQ(DataShift!Y228,DataShift!F228:Y228)</f>
        <v>3</v>
      </c>
      <c r="H28">
        <f>_xlfn.RANK.AVG(DataShift!Y228,DataShift!F228:Y228)</f>
        <v>3</v>
      </c>
      <c r="I28" s="99">
        <f>_xlfn.PERCENTRANK.INC(DataShift!F228:Y228,DataShift!Y228)</f>
        <v>0.89400000000000002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1</v>
      </c>
      <c r="C29">
        <f>_xlfn.RANK.EQ(DataShift!Y724,DataShift!F724:Y724)</f>
        <v>20</v>
      </c>
      <c r="D29">
        <f>_xlfn.RANK.EQ(DataShift!AU625,DataShift!AB625:AU625)</f>
        <v>9</v>
      </c>
      <c r="G29">
        <f>_xlfn.RANK.EQ(DataShift!Y229,DataShift!F229:Y229)</f>
        <v>19</v>
      </c>
      <c r="H29">
        <f>_xlfn.RANK.AVG(DataShift!Y229,DataShift!F229:Y229)</f>
        <v>19</v>
      </c>
      <c r="I29" s="99">
        <f>_xlfn.PERCENTRANK.INC(DataShift!F229:Y229,DataShift!Y229)</f>
        <v>5.1999999999999998E-2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3</v>
      </c>
      <c r="C30">
        <f>_xlfn.RANK.EQ(DataShift!Y725,DataShift!F725:Y725)</f>
        <v>1</v>
      </c>
      <c r="D30">
        <f>_xlfn.RANK.EQ(DataShift!AU626,DataShift!AB626:AU626)</f>
        <v>5</v>
      </c>
      <c r="G30">
        <f>_xlfn.RANK.EQ(DataShift!Y230,DataShift!F230:Y230)</f>
        <v>4</v>
      </c>
      <c r="H30">
        <f>_xlfn.RANK.AVG(DataShift!Y230,DataShift!F230:Y230)</f>
        <v>4</v>
      </c>
      <c r="I30" s="99">
        <f>_xlfn.PERCENTRANK.INC(DataShift!F230:Y230,DataShift!Y230)</f>
        <v>0.84199999999999997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5</v>
      </c>
      <c r="C31">
        <f>_xlfn.RANK.EQ(DataShift!Y726,DataShift!F726:Y726)</f>
        <v>5</v>
      </c>
      <c r="D31">
        <f>_xlfn.RANK.EQ(DataShift!AU627,DataShift!AB627:AU627)</f>
        <v>5</v>
      </c>
      <c r="G31">
        <f>_xlfn.RANK.EQ(DataShift!Y231,DataShift!F231:Y231)</f>
        <v>12</v>
      </c>
      <c r="H31">
        <f>_xlfn.RANK.AVG(DataShift!Y231,DataShift!F231:Y231)</f>
        <v>12.5</v>
      </c>
      <c r="I31" s="99">
        <f>_xlfn.PERCENTRANK.INC(DataShift!F231:Y231,DataShift!Y231)</f>
        <v>0.36799999999999999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5</v>
      </c>
      <c r="C32">
        <f>_xlfn.RANK.EQ(DataShift!Y727,DataShift!F727:Y727)</f>
        <v>15</v>
      </c>
      <c r="D32">
        <f>_xlfn.RANK.EQ(DataShift!AU628,DataShift!AB628:AU628)</f>
        <v>10</v>
      </c>
      <c r="G32">
        <f>_xlfn.RANK.EQ(DataShift!Y232,DataShift!F232:Y232)</f>
        <v>2</v>
      </c>
      <c r="H32">
        <f>_xlfn.RANK.AVG(DataShift!Y232,DataShift!F232:Y232)</f>
        <v>2</v>
      </c>
      <c r="I32" s="99">
        <f>_xlfn.PERCENTRANK.INC(DataShift!F232:Y232,DataShift!Y232)</f>
        <v>0.94699999999999995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2</v>
      </c>
      <c r="C33">
        <f>_xlfn.RANK.EQ(DataShift!Y728,DataShift!F728:Y728)</f>
        <v>16</v>
      </c>
      <c r="D33">
        <f>_xlfn.RANK.EQ(DataShift!AU629,DataShift!AB629:AU629)</f>
        <v>1</v>
      </c>
      <c r="G33">
        <f>_xlfn.RANK.EQ(DataShift!Y233,DataShift!F233:Y233)</f>
        <v>20</v>
      </c>
      <c r="H33">
        <f>_xlfn.RANK.AVG(DataShift!Y233,DataShift!F233:Y233)</f>
        <v>20</v>
      </c>
      <c r="I33" s="99">
        <f>_xlfn.PERCENTRANK.INC(DataShift!F233:Y233,DataShift!Y233)</f>
        <v>0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6</v>
      </c>
      <c r="C34">
        <f>_xlfn.RANK.EQ(DataShift!Y729,DataShift!F729:Y729)</f>
        <v>18</v>
      </c>
      <c r="D34">
        <f>_xlfn.RANK.EQ(DataShift!AU630,DataShift!AB630:AU630)</f>
        <v>3</v>
      </c>
      <c r="G34">
        <f>_xlfn.RANK.EQ(DataShift!Y234,DataShift!F234:Y234)</f>
        <v>7</v>
      </c>
      <c r="H34">
        <f>_xlfn.RANK.AVG(DataShift!Y234,DataShift!F234:Y234)</f>
        <v>7</v>
      </c>
      <c r="I34" s="99">
        <f>_xlfn.PERCENTRANK.INC(DataShift!F234:Y234,DataShift!Y234)</f>
        <v>0.68400000000000005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4</v>
      </c>
      <c r="C35">
        <f>_xlfn.RANK.EQ(DataShift!Y730,DataShift!F730:Y730)</f>
        <v>11</v>
      </c>
      <c r="D35">
        <f>_xlfn.RANK.EQ(DataShift!AU631,DataShift!AB631:AU631)</f>
        <v>10</v>
      </c>
      <c r="G35">
        <f>_xlfn.RANK.EQ(DataShift!Y235,DataShift!F235:Y235)</f>
        <v>2</v>
      </c>
      <c r="H35">
        <f>_xlfn.RANK.AVG(DataShift!Y235,DataShift!F235:Y235)</f>
        <v>2</v>
      </c>
      <c r="I35" s="99">
        <f>_xlfn.PERCENTRANK.INC(DataShift!F235:Y235,DataShift!Y235)</f>
        <v>0.94699999999999995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9</v>
      </c>
      <c r="C36">
        <f>_xlfn.RANK.EQ(DataShift!Y731,DataShift!F731:Y731)</f>
        <v>3</v>
      </c>
      <c r="D36">
        <f>_xlfn.RANK.EQ(DataShift!AU632,DataShift!AB632:AU632)</f>
        <v>3</v>
      </c>
      <c r="G36">
        <f>_xlfn.RANK.EQ(DataShift!Y236,DataShift!F236:Y236)</f>
        <v>18</v>
      </c>
      <c r="H36">
        <f>_xlfn.RANK.AVG(DataShift!Y236,DataShift!F236:Y236)</f>
        <v>18</v>
      </c>
      <c r="I36" s="99">
        <f>_xlfn.PERCENTRANK.INC(DataShift!F236:Y236,DataShift!Y236)</f>
        <v>0.105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5</v>
      </c>
      <c r="C37">
        <f>_xlfn.RANK.EQ(DataShift!Y732,DataShift!F732:Y732)</f>
        <v>11</v>
      </c>
      <c r="D37">
        <f>_xlfn.RANK.EQ(DataShift!AU633,DataShift!AB633:AU633)</f>
        <v>10</v>
      </c>
      <c r="G37">
        <f>_xlfn.RANK.EQ(DataShift!Y237,DataShift!F237:Y237)</f>
        <v>11</v>
      </c>
      <c r="H37">
        <f>_xlfn.RANK.AVG(DataShift!Y237,DataShift!F237:Y237)</f>
        <v>11</v>
      </c>
      <c r="I37" s="99">
        <f>_xlfn.PERCENTRANK.INC(DataShift!F237:Y237,DataShift!Y237)</f>
        <v>0.47299999999999998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18</v>
      </c>
      <c r="C38">
        <f>_xlfn.RANK.EQ(DataShift!Y733,DataShift!F733:Y733)</f>
        <v>8</v>
      </c>
      <c r="D38">
        <f>_xlfn.RANK.EQ(DataShift!AU634,DataShift!AB634:AU634)</f>
        <v>1</v>
      </c>
      <c r="G38">
        <f>_xlfn.RANK.EQ(DataShift!Y238,DataShift!F238:Y238)</f>
        <v>13</v>
      </c>
      <c r="H38">
        <f>_xlfn.RANK.AVG(DataShift!Y238,DataShift!F238:Y238)</f>
        <v>13.5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14</v>
      </c>
      <c r="C39">
        <f>_xlfn.RANK.EQ(DataShift!Y734,DataShift!F734:Y734)</f>
        <v>12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5</v>
      </c>
      <c r="C40">
        <f>_xlfn.RANK.EQ(DataShift!Y735,DataShift!F735:Y735)</f>
        <v>7</v>
      </c>
      <c r="D40">
        <f>_xlfn.RANK.EQ(DataShift!AU636,DataShift!AB636:AU636)</f>
        <v>20</v>
      </c>
      <c r="G40">
        <f>_xlfn.RANK.EQ(DataShift!Y240,DataShift!F240:Y240)</f>
        <v>1</v>
      </c>
      <c r="H40">
        <f>_xlfn.RANK.AVG(DataShift!Y240,DataShift!F240:Y240)</f>
        <v>1</v>
      </c>
      <c r="I40" s="99">
        <f>_xlfn.PERCENTRANK.INC(DataShift!F240:Y240,DataShift!Y240)</f>
        <v>1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5</v>
      </c>
      <c r="C41">
        <f>_xlfn.RANK.EQ(DataShift!Y736,DataShift!F736:Y736)</f>
        <v>6</v>
      </c>
      <c r="D41">
        <f>_xlfn.RANK.EQ(DataShift!AU637,DataShift!AB637:AU637)</f>
        <v>2</v>
      </c>
      <c r="G41">
        <f>_xlfn.RANK.EQ(DataShift!Y241,DataShift!F241:Y241)</f>
        <v>19</v>
      </c>
      <c r="H41">
        <f>_xlfn.RANK.AVG(DataShift!Y241,DataShift!F241:Y241)</f>
        <v>19</v>
      </c>
      <c r="I41" s="99">
        <f>_xlfn.PERCENTRANK.INC(DataShift!F241:Y241,DataShift!Y241)</f>
        <v>5.1999999999999998E-2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10</v>
      </c>
      <c r="C42">
        <f>_xlfn.RANK.EQ(DataShift!Y737,DataShift!F737:Y737)</f>
        <v>18</v>
      </c>
      <c r="D42">
        <f>_xlfn.RANK.EQ(DataShift!AU638,DataShift!AB638:AU638)</f>
        <v>1</v>
      </c>
      <c r="G42">
        <f>_xlfn.RANK.EQ(DataShift!Y242,DataShift!F242:Y242)</f>
        <v>20</v>
      </c>
      <c r="H42">
        <f>_xlfn.RANK.AVG(DataShift!Y242,DataShift!F242:Y242)</f>
        <v>20</v>
      </c>
      <c r="I42" s="99">
        <f>_xlfn.PERCENTRANK.INC(DataShift!F242:Y242,DataShift!Y242)</f>
        <v>0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11</v>
      </c>
      <c r="C43">
        <f>_xlfn.RANK.EQ(DataShift!Y738,DataShift!F738:Y738)</f>
        <v>9</v>
      </c>
      <c r="D43">
        <f>_xlfn.RANK.EQ(DataShift!AU639,DataShift!AB639:AU639)</f>
        <v>17</v>
      </c>
      <c r="G43">
        <f>_xlfn.RANK.EQ(DataShift!Y243,DataShift!F243:Y243)</f>
        <v>16</v>
      </c>
      <c r="H43">
        <f>_xlfn.RANK.AVG(DataShift!Y243,DataShift!F243:Y243)</f>
        <v>16</v>
      </c>
      <c r="I43" s="99">
        <f>_xlfn.PERCENTRANK.INC(DataShift!F243:Y243,DataShift!Y243)</f>
        <v>0.21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11</v>
      </c>
      <c r="C45">
        <f>_xlfn.RANK.EQ(DataShift!Y740,DataShift!F740:Y740)</f>
        <v>11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</v>
      </c>
      <c r="C46">
        <f>_xlfn.RANK.EQ(DataShift!Y741,DataShift!F741:Y741)</f>
        <v>2</v>
      </c>
      <c r="D46">
        <f>_xlfn.RANK.EQ(DataShift!AU642,DataShift!AB642:AU642)</f>
        <v>1</v>
      </c>
      <c r="G46">
        <f>_xlfn.RANK.EQ(DataShift!Y246,DataShift!F246:Y246)</f>
        <v>13</v>
      </c>
      <c r="H46">
        <f>_xlfn.RANK.AVG(DataShift!Y246,DataShift!F246:Y246)</f>
        <v>13.5</v>
      </c>
      <c r="I46" s="99">
        <f>_xlfn.PERCENTRANK.INC(DataShift!F246:Y246,DataShift!Y246)</f>
        <v>0.315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11</v>
      </c>
      <c r="C47">
        <f>_xlfn.RANK.EQ(DataShift!Y742,DataShift!F742:Y742)</f>
        <v>13</v>
      </c>
      <c r="D47">
        <f>_xlfn.RANK.EQ(DataShift!AU643,DataShift!AB643:AU643)</f>
        <v>2</v>
      </c>
      <c r="G47">
        <f>_xlfn.RANK.EQ(DataShift!Y247,DataShift!F247:Y247)</f>
        <v>4</v>
      </c>
      <c r="H47">
        <f>_xlfn.RANK.AVG(DataShift!Y247,DataShift!F247:Y247)</f>
        <v>4</v>
      </c>
      <c r="I47" s="99">
        <f>_xlfn.PERCENTRANK.INC(DataShift!F247:Y247,DataShift!Y247)</f>
        <v>0.84199999999999997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5</v>
      </c>
      <c r="C48">
        <f>_xlfn.RANK.EQ(DataShift!Y743,DataShift!F743:Y743)</f>
        <v>11</v>
      </c>
      <c r="D48">
        <f>_xlfn.RANK.EQ(DataShift!AU644,DataShift!AB644:AU644)</f>
        <v>4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15</v>
      </c>
      <c r="D49">
        <f>_xlfn.RANK.EQ(DataShift!AU645,DataShift!AB645:AU645)</f>
        <v>6</v>
      </c>
      <c r="G49">
        <f>_xlfn.RANK.EQ(DataShift!Y249,DataShift!F249:Y249)</f>
        <v>15</v>
      </c>
      <c r="H49">
        <f>_xlfn.RANK.AVG(DataShift!Y249,DataShift!F249:Y249)</f>
        <v>15</v>
      </c>
      <c r="I49" s="99">
        <f>_xlfn.PERCENTRANK.INC(DataShift!F249:Y249,DataShift!Y249)</f>
        <v>0.26300000000000001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7</v>
      </c>
      <c r="C50">
        <f>_xlfn.RANK.EQ(DataShift!Y745,DataShift!F745:Y745)</f>
        <v>15</v>
      </c>
      <c r="D50">
        <f>_xlfn.RANK.EQ(DataShift!AU646,DataShift!AB646:AU646)</f>
        <v>8</v>
      </c>
      <c r="G50">
        <f>_xlfn.RANK.EQ(DataShift!Y250,DataShift!F250:Y250)</f>
        <v>11</v>
      </c>
      <c r="H50">
        <f>_xlfn.RANK.AVG(DataShift!Y250,DataShift!F250:Y250)</f>
        <v>12</v>
      </c>
      <c r="I50" s="99">
        <f>_xlfn.PERCENTRANK.INC(DataShift!F250:Y250,DataShift!Y250)</f>
        <v>0.36799999999999999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2</v>
      </c>
      <c r="C51">
        <f>_xlfn.RANK.EQ(DataShift!Y746,DataShift!F746:Y746)</f>
        <v>19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8</v>
      </c>
      <c r="D52">
        <f>_xlfn.RANK.EQ(DataShift!AU648,DataShift!AB648:AU648)</f>
        <v>16</v>
      </c>
      <c r="G52">
        <f>_xlfn.RANK.EQ(DataShift!Y252,DataShift!F252:Y252)</f>
        <v>6</v>
      </c>
      <c r="H52">
        <f>_xlfn.RANK.AVG(DataShift!Y252,DataShift!F252:Y252)</f>
        <v>11.5</v>
      </c>
      <c r="I52" s="99">
        <f>_xlfn.PERCENTRANK.INC(DataShift!F252:Y252,DataShift!Y252)</f>
        <v>0.157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8</v>
      </c>
      <c r="C53">
        <f>_xlfn.RANK.EQ(DataShift!Y748,DataShift!F748:Y748)</f>
        <v>15</v>
      </c>
      <c r="D53">
        <f>_xlfn.RANK.EQ(DataShift!AU649,DataShift!AB649:AU649)</f>
        <v>10</v>
      </c>
      <c r="G53">
        <f>_xlfn.RANK.EQ(DataShift!Y253,DataShift!F253:Y253)</f>
        <v>9</v>
      </c>
      <c r="H53">
        <f>_xlfn.RANK.AVG(DataShift!Y253,DataShift!F253:Y253)</f>
        <v>9</v>
      </c>
      <c r="I53" s="99">
        <f>_xlfn.PERCENTRANK.INC(DataShift!F253:Y253,DataShift!Y253)</f>
        <v>0.57799999999999996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9</v>
      </c>
      <c r="C54">
        <f>_xlfn.RANK.EQ(DataShift!Y749,DataShift!F749:Y749)</f>
        <v>11</v>
      </c>
      <c r="D54">
        <f>_xlfn.RANK.EQ(DataShift!AU650,DataShift!AB650:AU650)</f>
        <v>18</v>
      </c>
      <c r="G54">
        <f>_xlfn.RANK.EQ(DataShift!Y254,DataShift!F254:Y254)</f>
        <v>10</v>
      </c>
      <c r="H54">
        <f>_xlfn.RANK.AVG(DataShift!Y254,DataShift!F254:Y254)</f>
        <v>10</v>
      </c>
      <c r="I54" s="99">
        <f>_xlfn.PERCENTRANK.INC(DataShift!F254:Y254,DataShift!Y254)</f>
        <v>0.52600000000000002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19</v>
      </c>
      <c r="C55">
        <f>_xlfn.RANK.EQ(DataShift!Y750,DataShift!F750:Y750)</f>
        <v>6</v>
      </c>
      <c r="D55">
        <f>_xlfn.RANK.EQ(DataShift!AU651,DataShift!AB651:AU651)</f>
        <v>2</v>
      </c>
      <c r="G55">
        <f>_xlfn.RANK.EQ(DataShift!Y255,DataShift!F255:Y255)</f>
        <v>18</v>
      </c>
      <c r="H55">
        <f>_xlfn.RANK.AVG(DataShift!Y255,DataShift!F255:Y255)</f>
        <v>18.5</v>
      </c>
      <c r="I55" s="99">
        <f>_xlfn.PERCENTRANK.INC(DataShift!F255:Y255,DataShift!Y255)</f>
        <v>5.1999999999999998E-2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15</v>
      </c>
      <c r="C56">
        <f>_xlfn.RANK.EQ(DataShift!Y751,DataShift!F751:Y751)</f>
        <v>9</v>
      </c>
      <c r="D56">
        <f>_xlfn.RANK.EQ(DataShift!AU652,DataShift!AB652:AU652)</f>
        <v>10</v>
      </c>
      <c r="G56">
        <f>_xlfn.RANK.EQ(DataShift!Y256,DataShift!F256:Y256)</f>
        <v>5</v>
      </c>
      <c r="H56">
        <f>_xlfn.RANK.AVG(DataShift!Y256,DataShift!F256:Y256)</f>
        <v>5</v>
      </c>
      <c r="I56" s="99">
        <f>_xlfn.PERCENTRANK.INC(DataShift!F256:Y256,DataShift!Y256)</f>
        <v>0.78900000000000003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9</v>
      </c>
      <c r="C57">
        <f>_xlfn.RANK.EQ(DataShift!Y752,DataShift!F752:Y752)</f>
        <v>8</v>
      </c>
      <c r="D57">
        <f>_xlfn.RANK.EQ(DataShift!AU653,DataShift!AB653:AU653)</f>
        <v>19</v>
      </c>
      <c r="G57">
        <f>_xlfn.RANK.EQ(DataShift!Y257,DataShift!F257:Y257)</f>
        <v>2</v>
      </c>
      <c r="H57">
        <f>_xlfn.RANK.AVG(DataShift!Y257,DataShift!F257:Y257)</f>
        <v>2</v>
      </c>
      <c r="I57" s="99">
        <f>_xlfn.PERCENTRANK.INC(DataShift!F257:Y257,DataShift!Y257)</f>
        <v>0.94699999999999995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3</v>
      </c>
      <c r="C58">
        <f>_xlfn.RANK.EQ(DataShift!Y753,DataShift!F753:Y753)</f>
        <v>1</v>
      </c>
      <c r="D58">
        <f>_xlfn.RANK.EQ(DataShift!AU654,DataShift!AB654:AU654)</f>
        <v>10</v>
      </c>
      <c r="G58">
        <f>_xlfn.RANK.EQ(DataShift!Y258,DataShift!F258:Y258)</f>
        <v>9</v>
      </c>
      <c r="H58">
        <f>_xlfn.RANK.AVG(DataShift!Y258,DataShift!F258:Y258)</f>
        <v>9</v>
      </c>
      <c r="I58" s="99">
        <f>_xlfn.PERCENTRANK.INC(DataShift!F258:Y258,DataShift!Y258)</f>
        <v>0.57799999999999996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12</v>
      </c>
      <c r="C59">
        <f>_xlfn.RANK.EQ(DataShift!Y754,DataShift!F754:Y754)</f>
        <v>14</v>
      </c>
      <c r="D59">
        <f>_xlfn.RANK.EQ(DataShift!AU655,DataShift!AB655:AU655)</f>
        <v>2</v>
      </c>
      <c r="G59">
        <f>_xlfn.RANK.EQ(DataShift!Y259,DataShift!F259:Y259)</f>
        <v>18</v>
      </c>
      <c r="H59">
        <f>_xlfn.RANK.AVG(DataShift!Y259,DataShift!F259:Y259)</f>
        <v>18.5</v>
      </c>
      <c r="I59" s="99">
        <f>_xlfn.PERCENTRANK.INC(DataShift!F259:Y259,DataShift!Y259)</f>
        <v>5.1999999999999998E-2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16</v>
      </c>
      <c r="C60">
        <f>_xlfn.RANK.EQ(DataShift!Y755,DataShift!F755:Y755)</f>
        <v>13</v>
      </c>
      <c r="D60">
        <f>_xlfn.RANK.EQ(DataShift!AU656,DataShift!AB656:AU656)</f>
        <v>1</v>
      </c>
      <c r="G60">
        <f>_xlfn.RANK.EQ(DataShift!Y260,DataShift!F260:Y260)</f>
        <v>20</v>
      </c>
      <c r="H60">
        <f>_xlfn.RANK.AVG(DataShift!Y260,DataShift!F260:Y260)</f>
        <v>20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10</v>
      </c>
      <c r="C61">
        <f>_xlfn.RANK.EQ(DataShift!Y756,DataShift!F756:Y756)</f>
        <v>15</v>
      </c>
      <c r="D61">
        <f>_xlfn.RANK.EQ(DataShift!AU657,DataShift!AB657:AU657)</f>
        <v>9</v>
      </c>
      <c r="G61">
        <f>_xlfn.RANK.EQ(DataShift!Y261,DataShift!F261:Y261)</f>
        <v>8</v>
      </c>
      <c r="H61">
        <f>_xlfn.RANK.AVG(DataShift!Y261,DataShift!F261:Y261)</f>
        <v>8</v>
      </c>
      <c r="I61" s="99">
        <f>_xlfn.PERCENTRANK.INC(DataShift!F261:Y261,DataShift!Y261)</f>
        <v>0.63100000000000001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11</v>
      </c>
      <c r="C62">
        <f>_xlfn.RANK.EQ(DataShift!Y757,DataShift!F757:Y757)</f>
        <v>9</v>
      </c>
      <c r="D62">
        <f>_xlfn.RANK.EQ(DataShift!AU658,DataShift!AB658:AU658)</f>
        <v>13</v>
      </c>
      <c r="G62">
        <f>_xlfn.RANK.EQ(DataShift!Y262,DataShift!F262:Y262)</f>
        <v>8</v>
      </c>
      <c r="H62">
        <f>_xlfn.RANK.AVG(DataShift!Y262,DataShift!F262:Y262)</f>
        <v>8</v>
      </c>
      <c r="I62" s="99">
        <f>_xlfn.PERCENTRANK.INC(DataShift!F262:Y262,DataShift!Y262)</f>
        <v>0.63100000000000001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5</v>
      </c>
      <c r="C63">
        <f>_xlfn.RANK.EQ(DataShift!Y758,DataShift!F758:Y758)</f>
        <v>7</v>
      </c>
      <c r="D63">
        <f>_xlfn.RANK.EQ(DataShift!AU659,DataShift!AB659:AU659)</f>
        <v>20</v>
      </c>
      <c r="G63">
        <f>_xlfn.RANK.EQ(DataShift!Y263,DataShift!F263:Y263)</f>
        <v>1</v>
      </c>
      <c r="H63">
        <f>_xlfn.RANK.AVG(DataShift!Y263,DataShift!F263:Y263)</f>
        <v>1</v>
      </c>
      <c r="I63" s="99">
        <f>_xlfn.PERCENTRANK.INC(DataShift!F263:Y263,DataShift!Y263)</f>
        <v>1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5</v>
      </c>
      <c r="C64">
        <f>_xlfn.RANK.EQ(DataShift!Y759,DataShift!F759:Y759)</f>
        <v>6</v>
      </c>
      <c r="D64">
        <f>_xlfn.RANK.EQ(DataShift!AU660,DataShift!AB660:AU660)</f>
        <v>2</v>
      </c>
      <c r="G64">
        <f>_xlfn.RANK.EQ(DataShift!Y264,DataShift!F264:Y264)</f>
        <v>19</v>
      </c>
      <c r="H64">
        <f>_xlfn.RANK.AVG(DataShift!Y264,DataShift!F264:Y264)</f>
        <v>19</v>
      </c>
      <c r="I64" s="99">
        <f>_xlfn.PERCENTRANK.INC(DataShift!F264:Y264,DataShift!Y264)</f>
        <v>5.1999999999999998E-2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</v>
      </c>
      <c r="C65">
        <f>_xlfn.RANK.EQ(DataShift!Y760,DataShift!F760:Y760)</f>
        <v>2</v>
      </c>
      <c r="D65">
        <f>_xlfn.RANK.EQ(DataShift!AU661,DataShift!AB661:AU661)</f>
        <v>1</v>
      </c>
      <c r="G65">
        <f>_xlfn.RANK.EQ(DataShift!Y265,DataShift!F265:Y265)</f>
        <v>13</v>
      </c>
      <c r="H65">
        <f>_xlfn.RANK.AVG(DataShift!Y265,DataShift!F265:Y265)</f>
        <v>13.5</v>
      </c>
      <c r="I65" s="99">
        <f>_xlfn.PERCENTRANK.INC(DataShift!F265:Y265,DataShift!Y265)</f>
        <v>0.315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3</v>
      </c>
      <c r="C66">
        <f>_xlfn.RANK.EQ(DataShift!Y761,DataShift!F761:Y761)</f>
        <v>3</v>
      </c>
      <c r="D66">
        <f>_xlfn.RANK.EQ(DataShift!AU662,DataShift!AB662:AU662)</f>
        <v>5</v>
      </c>
      <c r="G66">
        <f>_xlfn.RANK.EQ(DataShift!Y266,DataShift!F266:Y266)</f>
        <v>6</v>
      </c>
      <c r="H66">
        <f>_xlfn.RANK.AVG(DataShift!Y266,DataShift!F266:Y266)</f>
        <v>6</v>
      </c>
      <c r="I66" s="99">
        <f>_xlfn.PERCENTRANK.INC(DataShift!F266:Y266,DataShift!Y266)</f>
        <v>0.73599999999999999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2</v>
      </c>
      <c r="C67">
        <f>_xlfn.RANK.EQ(DataShift!Y762,DataShift!F762:Y762)</f>
        <v>14</v>
      </c>
      <c r="D67">
        <f>_xlfn.RANK.EQ(DataShift!AU663,DataShift!AB663:AU663)</f>
        <v>1</v>
      </c>
      <c r="G67">
        <f>_xlfn.RANK.EQ(DataShift!Y267,DataShift!F267:Y267)</f>
        <v>13</v>
      </c>
      <c r="H67">
        <f>_xlfn.RANK.AVG(DataShift!Y267,DataShift!F267:Y267)</f>
        <v>13</v>
      </c>
      <c r="I67" s="99">
        <f>_xlfn.PERCENTRANK.INC(DataShift!F267:Y267,DataShift!Y267)</f>
        <v>0.36799999999999999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12</v>
      </c>
      <c r="C68">
        <f>_xlfn.RANK.EQ(DataShift!Y763,DataShift!F763:Y763)</f>
        <v>11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15</v>
      </c>
      <c r="C69">
        <f>_xlfn.RANK.EQ(DataShift!Y764,DataShift!F764:Y764)</f>
        <v>9</v>
      </c>
      <c r="D69">
        <f>_xlfn.RANK.EQ(DataShift!AU665,DataShift!AB665:AU665)</f>
        <v>10</v>
      </c>
      <c r="G69">
        <f>_xlfn.RANK.EQ(DataShift!Y269,DataShift!F269:Y269)</f>
        <v>5</v>
      </c>
      <c r="H69">
        <f>_xlfn.RANK.AVG(DataShift!Y269,DataShift!F269:Y269)</f>
        <v>5</v>
      </c>
      <c r="I69" s="99">
        <f>_xlfn.PERCENTRANK.INC(DataShift!F269:Y269,DataShift!Y269)</f>
        <v>0.78900000000000003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1</v>
      </c>
      <c r="C70">
        <f>_xlfn.RANK.EQ(DataShift!Y765,DataShift!F765:Y765)</f>
        <v>16</v>
      </c>
      <c r="D70">
        <f>_xlfn.RANK.EQ(DataShift!AU666,DataShift!AB666:AU666)</f>
        <v>2</v>
      </c>
      <c r="G70">
        <f>_xlfn.RANK.EQ(DataShift!Y270,DataShift!F270:Y270)</f>
        <v>19</v>
      </c>
      <c r="H70">
        <f>_xlfn.RANK.AVG(DataShift!Y270,DataShift!F270:Y270)</f>
        <v>19</v>
      </c>
      <c r="I70" s="99">
        <f>_xlfn.PERCENTRANK.INC(DataShift!F270:Y270,DataShift!Y270)</f>
        <v>5.1999999999999998E-2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1</v>
      </c>
      <c r="C71">
        <f>_xlfn.RANK.EQ(DataShift!Y766,DataShift!F766:Y766)</f>
        <v>14</v>
      </c>
      <c r="D71">
        <f>_xlfn.RANK.EQ(DataShift!AU667,DataShift!AB667:AU667)</f>
        <v>4</v>
      </c>
      <c r="G71">
        <f>_xlfn.RANK.EQ(DataShift!Y271,DataShift!F271:Y271)</f>
        <v>5</v>
      </c>
      <c r="H71">
        <f>_xlfn.RANK.AVG(DataShift!Y271,DataShift!F271:Y271)</f>
        <v>5</v>
      </c>
      <c r="I71" s="99">
        <f>_xlfn.PERCENTRANK.INC(DataShift!F271:Y271,DataShift!Y271)</f>
        <v>0.78900000000000003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14</v>
      </c>
      <c r="C72">
        <f>_xlfn.RANK.EQ(DataShift!Y767,DataShift!F767:Y767)</f>
        <v>14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1</v>
      </c>
      <c r="C73">
        <f>_xlfn.RANK.EQ(DataShift!Y768,DataShift!F768:Y768)</f>
        <v>20</v>
      </c>
      <c r="D73">
        <f>_xlfn.RANK.EQ(DataShift!AU669,DataShift!AB669:AU669)</f>
        <v>9</v>
      </c>
      <c r="G73">
        <f>_xlfn.RANK.EQ(DataShift!Y273,DataShift!F273:Y273)</f>
        <v>19</v>
      </c>
      <c r="H73">
        <f>_xlfn.RANK.AVG(DataShift!Y273,DataShift!F273:Y273)</f>
        <v>19</v>
      </c>
      <c r="I73" s="99">
        <f>_xlfn.PERCENTRANK.INC(DataShift!F273:Y273,DataShift!Y273)</f>
        <v>5.1999999999999998E-2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4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12</v>
      </c>
      <c r="C75">
        <f>_xlfn.RANK.EQ(DataShift!Y770,DataShift!F770:Y770)</f>
        <v>14</v>
      </c>
      <c r="D75">
        <f>_xlfn.RANK.EQ(DataShift!AU671,DataShift!AB671:AU671)</f>
        <v>2</v>
      </c>
      <c r="G75">
        <f>_xlfn.RANK.EQ(DataShift!Y275,DataShift!F275:Y275)</f>
        <v>18</v>
      </c>
      <c r="H75">
        <f>_xlfn.RANK.AVG(DataShift!Y275,DataShift!F275:Y275)</f>
        <v>18.5</v>
      </c>
      <c r="I75" s="99">
        <f>_xlfn.PERCENTRANK.INC(DataShift!F275:Y275,DataShift!Y275)</f>
        <v>5.1999999999999998E-2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9</v>
      </c>
      <c r="D76">
        <f>_xlfn.RANK.EQ(DataShift!AU672,DataShift!AB672:AU672)</f>
        <v>5</v>
      </c>
      <c r="G76">
        <f>_xlfn.RANK.EQ(DataShift!Y276,DataShift!F276:Y276)</f>
        <v>16</v>
      </c>
      <c r="H76">
        <f>_xlfn.RANK.AVG(DataShift!Y276,DataShift!F276:Y276)</f>
        <v>16</v>
      </c>
      <c r="I76" s="99">
        <f>_xlfn.PERCENTRANK.INC(DataShift!F276:Y276,DataShift!Y276)</f>
        <v>0.21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2</v>
      </c>
      <c r="C77">
        <f>_xlfn.RANK.EQ(DataShift!Y772,DataShift!F772:Y772)</f>
        <v>14</v>
      </c>
      <c r="D77">
        <f>_xlfn.RANK.EQ(DataShift!AU673,DataShift!AB673:AU673)</f>
        <v>13</v>
      </c>
      <c r="G77">
        <f>_xlfn.RANK.EQ(DataShift!Y277,DataShift!F277:Y277)</f>
        <v>7</v>
      </c>
      <c r="H77">
        <f>_xlfn.RANK.AVG(DataShift!Y277,DataShift!F277:Y277)</f>
        <v>7.5</v>
      </c>
      <c r="I77" s="99">
        <f>_xlfn.PERCENTRANK.INC(DataShift!F277:Y277,DataShift!Y277)</f>
        <v>0.63100000000000001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10</v>
      </c>
      <c r="C78">
        <f>_xlfn.RANK.EQ(DataShift!Y773,DataShift!F773:Y773)</f>
        <v>15</v>
      </c>
      <c r="D78">
        <f>_xlfn.RANK.EQ(DataShift!AU674,DataShift!AB674:AU674)</f>
        <v>13</v>
      </c>
      <c r="G78">
        <f>_xlfn.RANK.EQ(DataShift!Y278,DataShift!F278:Y278)</f>
        <v>8</v>
      </c>
      <c r="H78">
        <f>_xlfn.RANK.AVG(DataShift!Y278,DataShift!F278:Y278)</f>
        <v>8</v>
      </c>
      <c r="I78" s="99">
        <f>_xlfn.PERCENTRANK.INC(DataShift!F278:Y278,DataShift!Y278)</f>
        <v>0.63100000000000001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6</v>
      </c>
      <c r="C79">
        <f>_xlfn.RANK.EQ(DataShift!Y774,DataShift!F774:Y774)</f>
        <v>15</v>
      </c>
      <c r="D79">
        <f>_xlfn.RANK.EQ(DataShift!AU675,DataShift!AB675:AU675)</f>
        <v>3</v>
      </c>
      <c r="G79">
        <f>_xlfn.RANK.EQ(DataShift!Y279,DataShift!F279:Y279)</f>
        <v>14</v>
      </c>
      <c r="H79">
        <f>_xlfn.RANK.AVG(DataShift!Y279,DataShift!F279:Y279)</f>
        <v>14</v>
      </c>
      <c r="I79" s="99">
        <f>_xlfn.PERCENTRANK.INC(DataShift!F279:Y279,DataShift!Y279)</f>
        <v>0.315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10</v>
      </c>
      <c r="C80">
        <f>_xlfn.RANK.EQ(DataShift!Y775,DataShift!F775:Y775)</f>
        <v>14</v>
      </c>
      <c r="D80">
        <f>_xlfn.RANK.EQ(DataShift!AU676,DataShift!AB676:AU676)</f>
        <v>4</v>
      </c>
      <c r="G80">
        <f>_xlfn.RANK.EQ(DataShift!Y280,DataShift!F280:Y280)</f>
        <v>2</v>
      </c>
      <c r="H80">
        <f>_xlfn.RANK.AVG(DataShift!Y280,DataShift!F280:Y280)</f>
        <v>2</v>
      </c>
      <c r="I80" s="99">
        <f>_xlfn.PERCENTRANK.INC(DataShift!F280:Y280,DataShift!Y280)</f>
        <v>0.94699999999999995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5</v>
      </c>
      <c r="C81">
        <f>_xlfn.RANK.EQ(DataShift!Y776,DataShift!F776:Y776)</f>
        <v>1</v>
      </c>
      <c r="D81">
        <f>_xlfn.RANK.EQ(DataShift!AU677,DataShift!AB677:AU677)</f>
        <v>13</v>
      </c>
      <c r="G81">
        <f>_xlfn.RANK.EQ(DataShift!Y281,DataShift!F281:Y281)</f>
        <v>8</v>
      </c>
      <c r="H81">
        <f>_xlfn.RANK.AVG(DataShift!Y281,DataShift!F281:Y281)</f>
        <v>8</v>
      </c>
      <c r="I81" s="99">
        <f>_xlfn.PERCENTRANK.INC(DataShift!F281:Y281,DataShift!Y281)</f>
        <v>0.63100000000000001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10</v>
      </c>
      <c r="D82">
        <f>_xlfn.RANK.EQ(DataShift!AU678,DataShift!AB678:AU678)</f>
        <v>3</v>
      </c>
      <c r="G82">
        <f>_xlfn.RANK.EQ(DataShift!Y282,DataShift!F282:Y282)</f>
        <v>11</v>
      </c>
      <c r="H82">
        <f>_xlfn.RANK.AVG(DataShift!Y282,DataShift!F282:Y282)</f>
        <v>11</v>
      </c>
      <c r="I82" s="99">
        <f>_xlfn.PERCENTRANK.INC(DataShift!F282:Y282,DataShift!Y282)</f>
        <v>0.47299999999999998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4</v>
      </c>
      <c r="C83">
        <f>_xlfn.RANK.EQ(DataShift!Y778,DataShift!F778:Y778)</f>
        <v>19</v>
      </c>
      <c r="D83">
        <f>_xlfn.RANK.EQ(DataShift!AU679,DataShift!AB679:AU679)</f>
        <v>2</v>
      </c>
      <c r="G83">
        <f>_xlfn.RANK.EQ(DataShift!Y283,DataShift!F283:Y283)</f>
        <v>18</v>
      </c>
      <c r="H83">
        <f>_xlfn.RANK.AVG(DataShift!Y283,DataShift!F283:Y283)</f>
        <v>18</v>
      </c>
      <c r="I83" s="99">
        <f>_xlfn.PERCENTRANK.INC(DataShift!F283:Y283,DataShift!Y283)</f>
        <v>0.105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3</v>
      </c>
      <c r="C84">
        <f>_xlfn.RANK.EQ(DataShift!Y779,DataShift!F779:Y779)</f>
        <v>18</v>
      </c>
      <c r="D84">
        <f>_xlfn.RANK.EQ(DataShift!AU680,DataShift!AB680:AU680)</f>
        <v>13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1</v>
      </c>
      <c r="C85">
        <f>_xlfn.RANK.EQ(DataShift!Y780,DataShift!F780:Y780)</f>
        <v>20</v>
      </c>
      <c r="D85">
        <f>_xlfn.RANK.EQ(DataShift!AU681,DataShift!AB681:AU681)</f>
        <v>1</v>
      </c>
      <c r="G85">
        <f>_xlfn.RANK.EQ(DataShift!Y285,DataShift!F285:Y285)</f>
        <v>18</v>
      </c>
      <c r="H85">
        <f>_xlfn.RANK.AVG(DataShift!Y285,DataShift!F285:Y285)</f>
        <v>18</v>
      </c>
      <c r="I85" s="99">
        <f>_xlfn.PERCENTRANK.INC(DataShift!F285:Y285,DataShift!Y285)</f>
        <v>0.105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11</v>
      </c>
      <c r="C86">
        <f>_xlfn.RANK.EQ(DataShift!Y781,DataShift!F781:Y781)</f>
        <v>9</v>
      </c>
      <c r="D86">
        <f>_xlfn.RANK.EQ(DataShift!AU682,DataShift!AB682:AU682)</f>
        <v>13</v>
      </c>
      <c r="G86">
        <f>_xlfn.RANK.EQ(DataShift!Y286,DataShift!F286:Y286)</f>
        <v>8</v>
      </c>
      <c r="H86">
        <f>_xlfn.RANK.AVG(DataShift!Y286,DataShift!F286:Y286)</f>
        <v>8</v>
      </c>
      <c r="I86" s="99">
        <f>_xlfn.PERCENTRANK.INC(DataShift!F286:Y286,DataShift!Y286)</f>
        <v>0.63100000000000001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8</v>
      </c>
      <c r="C87">
        <f>_xlfn.RANK.EQ(DataShift!Y782,DataShift!F782:Y782)</f>
        <v>15</v>
      </c>
      <c r="D87">
        <f>_xlfn.RANK.EQ(DataShift!AU683,DataShift!AB683:AU683)</f>
        <v>9</v>
      </c>
      <c r="G87">
        <f>_xlfn.RANK.EQ(DataShift!Y287,DataShift!F287:Y287)</f>
        <v>12</v>
      </c>
      <c r="H87">
        <f>_xlfn.RANK.AVG(DataShift!Y287,DataShift!F287:Y287)</f>
        <v>12</v>
      </c>
      <c r="I87" s="99">
        <f>_xlfn.PERCENTRANK.INC(DataShift!F287:Y287,DataShift!Y287)</f>
        <v>0.42099999999999999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1</v>
      </c>
      <c r="C88">
        <f>_xlfn.RANK.EQ(DataShift!Y783,DataShift!F783:Y783)</f>
        <v>20</v>
      </c>
      <c r="D88">
        <f>_xlfn.RANK.EQ(DataShift!AU684,DataShift!AB684:AU684)</f>
        <v>1</v>
      </c>
      <c r="G88">
        <f>_xlfn.RANK.EQ(DataShift!Y288,DataShift!F288:Y288)</f>
        <v>20</v>
      </c>
      <c r="H88">
        <f>_xlfn.RANK.AVG(DataShift!Y288,DataShift!F288:Y288)</f>
        <v>20</v>
      </c>
      <c r="I88" s="99">
        <f>_xlfn.PERCENTRANK.INC(DataShift!F288:Y288,DataShift!Y288)</f>
        <v>0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3</v>
      </c>
      <c r="C89">
        <f>_xlfn.RANK.EQ(DataShift!Y784,DataShift!F784:Y784)</f>
        <v>6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3</v>
      </c>
      <c r="C90">
        <f>_xlfn.RANK.EQ(DataShift!Y785,DataShift!F785:Y785)</f>
        <v>9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4</v>
      </c>
      <c r="C91">
        <f>_xlfn.RANK.EQ(DataShift!Y786,DataShift!F786:Y786)</f>
        <v>16</v>
      </c>
      <c r="D91">
        <f>_xlfn.RANK.EQ(DataShift!AU687,DataShift!AB687:AU687)</f>
        <v>1</v>
      </c>
      <c r="G91">
        <f>_xlfn.RANK.EQ(DataShift!Y291,DataShift!F291:Y291)</f>
        <v>20</v>
      </c>
      <c r="H91">
        <f>_xlfn.RANK.AVG(DataShift!Y291,DataShift!F291:Y291)</f>
        <v>20</v>
      </c>
      <c r="I91" s="99">
        <f>_xlfn.PERCENTRANK.INC(DataShift!F291:Y291,DataShift!Y291)</f>
        <v>0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6</v>
      </c>
      <c r="C92">
        <f>_xlfn.RANK.EQ(DataShift!Y787,DataShift!F787:Y787)</f>
        <v>17</v>
      </c>
      <c r="D92">
        <f>_xlfn.RANK.EQ(DataShift!AU688,DataShift!AB688:AU688)</f>
        <v>12</v>
      </c>
      <c r="G92">
        <f>_xlfn.RANK.EQ(DataShift!Y292,DataShift!F292:Y292)</f>
        <v>3</v>
      </c>
      <c r="H92">
        <f>_xlfn.RANK.AVG(DataShift!Y292,DataShift!F292:Y292)</f>
        <v>3</v>
      </c>
      <c r="I92" s="99">
        <f>_xlfn.PERCENTRANK.INC(DataShift!F292:Y292,DataShift!Y292)</f>
        <v>0.89400000000000002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16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3</v>
      </c>
      <c r="C94">
        <f>_xlfn.RANK.EQ(DataShift!Y789,DataShift!F789:Y789)</f>
        <v>1</v>
      </c>
      <c r="D94">
        <f>_xlfn.RANK.EQ(DataShift!AU690,DataShift!AB690:AU690)</f>
        <v>10</v>
      </c>
      <c r="G94">
        <f>_xlfn.RANK.EQ(DataShift!Y294,DataShift!F294:Y294)</f>
        <v>9</v>
      </c>
      <c r="H94">
        <f>_xlfn.RANK.AVG(DataShift!Y294,DataShift!F294:Y294)</f>
        <v>9</v>
      </c>
      <c r="I94" s="99">
        <f>_xlfn.PERCENTRANK.INC(DataShift!F294:Y294,DataShift!Y294)</f>
        <v>0.57799999999999996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17</v>
      </c>
      <c r="D95">
        <f>_xlfn.RANK.EQ(DataShift!AU691,DataShift!AB691:AU691)</f>
        <v>1</v>
      </c>
      <c r="G95">
        <f>_xlfn.RANK.EQ(DataShift!Y295,DataShift!F295:Y295)</f>
        <v>2</v>
      </c>
      <c r="H95">
        <f>_xlfn.RANK.AVG(DataShift!Y295,DataShift!F295:Y295)</f>
        <v>2</v>
      </c>
      <c r="I95" s="99">
        <f>_xlfn.PERCENTRANK.INC(DataShift!F295:Y295,DataShift!Y295)</f>
        <v>0.94699999999999995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7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12/09/2025</v>
      </c>
      <c r="AN2" s="994" t="s">
        <v>2386</v>
      </c>
    </row>
    <row r="3" spans="2:42" ht="23" thickBot="1" x14ac:dyDescent="0.35">
      <c r="B3" s="1052" t="str">
        <f>Y6</f>
        <v>TSLA</v>
      </c>
      <c r="C3" s="995"/>
      <c r="D3" s="995"/>
      <c r="M3" s="990" t="s">
        <v>2387</v>
      </c>
      <c r="AJ3" s="1168" t="s">
        <v>2564</v>
      </c>
      <c r="AK3" s="1052" t="str">
        <f>Y6</f>
        <v>TSLA</v>
      </c>
      <c r="AL3" s="1052">
        <v>45658</v>
      </c>
      <c r="AM3" s="1052">
        <f ca="1">TODAY()</f>
        <v>45912</v>
      </c>
      <c r="AN3" s="990">
        <f ca="1">MATCH(MAX(AK5:AK201),AK5:AK201,0)</f>
        <v>173</v>
      </c>
      <c r="AP3" s="990" t="str" cm="1">
        <f t="array" aca="1" ref="AP3:AP159" ca="1">_xlfn.STOCKHISTORY(AK3,"01/03/2025","08/18/2025",,2,1)</f>
        <v>XNAS:TSLA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15</v>
      </c>
      <c r="W4" s="997">
        <f ca="1">MAX(W5:W147)</f>
        <v>15</v>
      </c>
      <c r="AJ4" s="1168" t="s">
        <v>2565</v>
      </c>
      <c r="AK4" s="990" t="str" cm="1">
        <f t="array" aca="1" ref="AK4:AL177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7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45911</v>
      </c>
      <c r="C5" s="990" vm="2">
        <f ca="1"/>
        <v>368.81</v>
      </c>
      <c r="D5" s="998">
        <f t="shared" ref="D5:D68" ca="1" si="0">IFERROR((C5-C6)/C6,0)</f>
        <v>6.0438770522441648E-2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2222</v>
      </c>
      <c r="G5" s="990">
        <f ca="1">VALUE(E5&amp;E6&amp;E7)</f>
        <v>222212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UUU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11</v>
      </c>
      <c r="W5" s="990">
        <f t="shared" ref="W5:W68" ca="1" si="2">COUNTIF(D5:D26,"&gt;0")</f>
        <v>11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379.28</v>
      </c>
      <c r="AP5" s="990" vm="5">
        <f ca="1"/>
        <v>410.44</v>
      </c>
    </row>
    <row r="6" spans="2:42" ht="22" customHeight="1" thickBot="1" x14ac:dyDescent="0.35">
      <c r="B6" s="990" vm="6">
        <f ca="1"/>
        <v>45910</v>
      </c>
      <c r="C6" s="990" vm="7">
        <f ca="1"/>
        <v>347.79</v>
      </c>
      <c r="D6" s="998">
        <f t="shared" ca="1" si="0"/>
        <v>2.3633167132604926E-3</v>
      </c>
      <c r="E6" s="990" cm="1">
        <f t="array" aca="1" ref="E6" ca="1">_xlfn.IFS(AND(D7&gt;=0,D6&gt;=0),22,AND(D7&gt;0,D6&lt;=0),21,  AND(D7&lt;0,D6&gt;0),12,AND(D7&lt;=0,D6&lt;=0),11)</f>
        <v>22</v>
      </c>
      <c r="F6" s="990">
        <f t="shared" ref="F6:F69" ca="1" si="3">VALUE(E7&amp;E6)</f>
        <v>1222</v>
      </c>
      <c r="G6" s="990">
        <f t="shared" ref="G6:G69" ca="1" si="4">VALUE(E6&amp;E7&amp;E8)</f>
        <v>221221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UU</v>
      </c>
      <c r="J6" s="990" t="str">
        <f t="shared" ref="J6:J69" ca="1" si="6">_xlfn.CONCAT(H8,H7,H6)</f>
        <v>DUU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11</v>
      </c>
      <c r="W6" s="990">
        <f t="shared" ca="1" si="2"/>
        <v>11</v>
      </c>
      <c r="Y6" s="1218" t="str" cm="1">
        <f t="array" ref="Y6">_xlfn.LET(_xlpm.Tick,[0]!IDTICKER,IF(OR(LEFT(_xlpm.Tick,3)="SAF",LEFT(_xlpm.Tick,3)="MVE"),RIGHT(_xlpm.Tick, LEN(_xlpm.Tick)-3),_xlpm.Tick))</f>
        <v>TSLA</v>
      </c>
      <c r="Z6" s="1014" t="s">
        <v>193</v>
      </c>
      <c r="AK6" s="990" vm="8">
        <f ca="1"/>
        <v>45660</v>
      </c>
      <c r="AL6" s="990" vm="5">
        <f ca="1"/>
        <v>410.44</v>
      </c>
      <c r="AP6" s="990" vm="9">
        <f ca="1"/>
        <v>411.05</v>
      </c>
    </row>
    <row r="7" spans="2:42" ht="22" customHeight="1" thickBot="1" x14ac:dyDescent="0.35">
      <c r="B7" s="990" vm="10">
        <f ca="1"/>
        <v>45909</v>
      </c>
      <c r="C7" s="990" vm="11">
        <f ca="1"/>
        <v>346.97</v>
      </c>
      <c r="D7" s="998">
        <f t="shared" ca="1" si="0"/>
        <v>1.6454965357969112E-3</v>
      </c>
      <c r="E7" s="990" cm="1">
        <f t="array" aca="1" ref="E7" ca="1">_xlfn.IFS(AND(D8&gt;=0,D7&gt;=0),22,AND(D8&gt;0,D7&lt;=0),21,  AND(D8&lt;0,D7&gt;0),12,AND(D8&lt;=0,D7&lt;=0),11)</f>
        <v>12</v>
      </c>
      <c r="F7" s="990">
        <f t="shared" ca="1" si="3"/>
        <v>2112</v>
      </c>
      <c r="G7" s="990">
        <f t="shared" ca="1" si="4"/>
        <v>122122</v>
      </c>
      <c r="H7" s="990" t="str" cm="1">
        <f t="array" aca="1" ref="H7" ca="1">_xlfn.IFS(D7&gt;0,"U",D7&lt;=0,"D",D7=0,"Z")</f>
        <v>U</v>
      </c>
      <c r="I7" s="990" t="str">
        <f t="shared" ca="1" si="5"/>
        <v>DU</v>
      </c>
      <c r="J7" s="990" t="str">
        <f t="shared" ca="1" si="6"/>
        <v>UDU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11</v>
      </c>
      <c r="W7" s="990">
        <f t="shared" ca="1" si="2"/>
        <v>11</v>
      </c>
      <c r="Y7" s="1219"/>
      <c r="Z7" s="1015" t="str" cm="1">
        <f t="array" aca="1" ref="Z7:AF7" ca="1">TRANSPOSE(J5:J11)</f>
        <v>UUU</v>
      </c>
      <c r="AA7" s="1016" t="str">
        <f ca="1"/>
        <v>DUU</v>
      </c>
      <c r="AB7" s="1016" t="str">
        <f ca="1"/>
        <v>UDU</v>
      </c>
      <c r="AC7" s="1016" t="str">
        <f ca="1"/>
        <v>UUD</v>
      </c>
      <c r="AD7" s="1016" t="str">
        <f ca="1"/>
        <v>UUU</v>
      </c>
      <c r="AE7" s="1016" t="str">
        <f ca="1"/>
        <v>DUU</v>
      </c>
      <c r="AF7" s="1017" t="str">
        <f ca="1"/>
        <v>DDU</v>
      </c>
      <c r="AK7" s="990" vm="12">
        <f ca="1"/>
        <v>45663</v>
      </c>
      <c r="AL7" s="990" vm="9">
        <f ca="1"/>
        <v>411.05</v>
      </c>
      <c r="AP7" s="990" vm="13">
        <f ca="1"/>
        <v>394.36</v>
      </c>
    </row>
    <row r="8" spans="2:42" ht="22" customHeight="1" thickBot="1" x14ac:dyDescent="0.35">
      <c r="B8" s="990" vm="14">
        <f ca="1"/>
        <v>45908</v>
      </c>
      <c r="C8" s="990" vm="15">
        <f ca="1"/>
        <v>346.4</v>
      </c>
      <c r="D8" s="998">
        <f t="shared" ca="1" si="0"/>
        <v>-1.2655341466195411E-2</v>
      </c>
      <c r="E8" s="990" cm="1">
        <f t="array" aca="1" ref="E8" ca="1">_xlfn.IFS(AND(D9&gt;=0,D8&gt;=0),22,AND(D9&gt;0,D8&lt;=0),21,  AND(D9&lt;0,D8&gt;0),12,AND(D9&lt;=0,D8&lt;=0),11)</f>
        <v>21</v>
      </c>
      <c r="F8" s="990">
        <f t="shared" ca="1" si="3"/>
        <v>2221</v>
      </c>
      <c r="G8" s="990">
        <f t="shared" ca="1" si="4"/>
        <v>212222</v>
      </c>
      <c r="H8" s="990" t="str" cm="1">
        <f t="array" aca="1" ref="H8" ca="1">_xlfn.IFS(D8&gt;0,"U",D8&lt;=0,"D",D8=0,"Z")</f>
        <v>D</v>
      </c>
      <c r="I8" s="990" t="str">
        <f t="shared" ca="1" si="5"/>
        <v>UD</v>
      </c>
      <c r="J8" s="990" t="str">
        <f t="shared" ca="1" si="6"/>
        <v>UUD</v>
      </c>
      <c r="V8" s="990">
        <f t="shared" ca="1" si="1"/>
        <v>11</v>
      </c>
      <c r="W8" s="990">
        <f t="shared" ca="1" si="2"/>
        <v>11</v>
      </c>
      <c r="Y8" s="1099" t="s">
        <v>199</v>
      </c>
      <c r="Z8" s="1018" cm="1">
        <f t="array" aca="1" ref="Z8:AF8" ca="1">TRANSPOSE(D5:D11)</f>
        <v>6.0438770522441648E-2</v>
      </c>
      <c r="AA8" s="1019">
        <f ca="1"/>
        <v>2.3633167132604926E-3</v>
      </c>
      <c r="AB8" s="1019">
        <f ca="1"/>
        <v>1.6454965357969112E-3</v>
      </c>
      <c r="AC8" s="1019">
        <f ca="1"/>
        <v>-1.2655341466195411E-2</v>
      </c>
      <c r="AD8" s="1019">
        <f ca="1"/>
        <v>3.6363099282190656E-2</v>
      </c>
      <c r="AE8" s="1019">
        <f ca="1"/>
        <v>1.3289832081175726E-2</v>
      </c>
      <c r="AF8" s="1020">
        <f ca="1"/>
        <v>1.4361185329123029E-2</v>
      </c>
      <c r="AK8" s="990" vm="16">
        <f ca="1"/>
        <v>45664</v>
      </c>
      <c r="AL8" s="990" vm="13">
        <f ca="1"/>
        <v>394.36</v>
      </c>
      <c r="AP8" s="990" vm="17">
        <f ca="1"/>
        <v>394.94</v>
      </c>
    </row>
    <row r="9" spans="2:42" ht="23" thickBot="1" x14ac:dyDescent="0.35">
      <c r="B9" s="990" vm="18">
        <f ca="1"/>
        <v>45905</v>
      </c>
      <c r="C9" s="990" vm="19">
        <f ca="1"/>
        <v>350.84</v>
      </c>
      <c r="D9" s="998">
        <f t="shared" ca="1" si="0"/>
        <v>3.6363099282190656E-2</v>
      </c>
      <c r="E9" s="990" cm="1">
        <f t="array" aca="1" ref="E9" ca="1">_xlfn.IFS(AND(D10&gt;=0,D9&gt;=0),22,AND(D10&gt;0,D9&lt;=0),21,  AND(D10&lt;0,D9&gt;0),12,AND(D10&lt;=0,D9&lt;=0),11)</f>
        <v>22</v>
      </c>
      <c r="F9" s="990">
        <f t="shared" ca="1" si="3"/>
        <v>2222</v>
      </c>
      <c r="G9" s="990">
        <f t="shared" ca="1" si="4"/>
        <v>222212</v>
      </c>
      <c r="H9" s="990" t="str" cm="1">
        <f t="array" aca="1" ref="H9" ca="1">_xlfn.IFS(D9&gt;0,"U",D9&lt;=0,"D",D9=0,"Z")</f>
        <v>U</v>
      </c>
      <c r="I9" s="990" t="str">
        <f t="shared" ca="1" si="5"/>
        <v>UU</v>
      </c>
      <c r="J9" s="990" t="str">
        <f t="shared" ca="1" si="6"/>
        <v>UUU</v>
      </c>
      <c r="L9" s="994">
        <f ca="1">COUNTIF(D5:D147,"=0")</f>
        <v>0</v>
      </c>
      <c r="M9" s="994">
        <f ca="1">COUNTIF(D5:D147,"&lt;0")</f>
        <v>71</v>
      </c>
      <c r="N9" s="994">
        <f ca="1">COUNTIF(D5:D147,"&gt;0")</f>
        <v>72</v>
      </c>
      <c r="V9" s="990">
        <f t="shared" ca="1" si="1"/>
        <v>10</v>
      </c>
      <c r="W9" s="990">
        <f t="shared" ca="1" si="2"/>
        <v>12</v>
      </c>
      <c r="AK9" s="990" vm="20">
        <f ca="1"/>
        <v>45665</v>
      </c>
      <c r="AL9" s="990" vm="17">
        <f ca="1"/>
        <v>394.94</v>
      </c>
      <c r="AP9" s="990" vm="21">
        <f ca="1"/>
        <v>394.74</v>
      </c>
    </row>
    <row r="10" spans="2:42" ht="23" thickBot="1" x14ac:dyDescent="0.35">
      <c r="B10" s="990" vm="22">
        <f ca="1"/>
        <v>45904</v>
      </c>
      <c r="C10" s="990" vm="23">
        <f ca="1"/>
        <v>338.53</v>
      </c>
      <c r="D10" s="998">
        <f t="shared" ca="1" si="0"/>
        <v>1.3289832081175726E-2</v>
      </c>
      <c r="E10" s="990" cm="1">
        <f t="array" aca="1" ref="E10" ca="1">_xlfn.IFS(AND(D11&gt;=0,D10&gt;=0),22,AND(D11&gt;0,D10&lt;=0),21,  AND(D11&lt;0,D10&gt;0),12,AND(D11&lt;=0,D10&lt;=0),11)</f>
        <v>22</v>
      </c>
      <c r="F10" s="990">
        <f t="shared" ca="1" si="3"/>
        <v>1222</v>
      </c>
      <c r="G10" s="990">
        <f t="shared" ca="1" si="4"/>
        <v>221211</v>
      </c>
      <c r="H10" s="990" t="str" cm="1">
        <f t="array" aca="1" ref="H10" ca="1">_xlfn.IFS(D10&gt;0,"U",D10&lt;=0,"D",D10=0,"Z")</f>
        <v>U</v>
      </c>
      <c r="I10" s="990" t="str">
        <f t="shared" ca="1" si="5"/>
        <v>UU</v>
      </c>
      <c r="J10" s="990" t="str">
        <f t="shared" ca="1" si="6"/>
        <v>DUU</v>
      </c>
      <c r="L10" s="994">
        <f ca="1">COUNTIF($H5:$H147,L2)</f>
        <v>0</v>
      </c>
      <c r="M10" s="994">
        <f t="shared" ref="M10:N10" ca="1" si="7">COUNTIF($H5:$H147,M2)</f>
        <v>71</v>
      </c>
      <c r="N10" s="994">
        <f t="shared" ca="1" si="7"/>
        <v>72</v>
      </c>
      <c r="V10" s="990">
        <f t="shared" ca="1" si="1"/>
        <v>11</v>
      </c>
      <c r="W10" s="990">
        <f t="shared" ca="1" si="2"/>
        <v>11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394.74</v>
      </c>
      <c r="AP10" s="990" vm="25">
        <f ca="1"/>
        <v>403.31</v>
      </c>
    </row>
    <row r="11" spans="2:42" x14ac:dyDescent="0.3">
      <c r="B11" s="990" vm="26">
        <f ca="1"/>
        <v>45903</v>
      </c>
      <c r="C11" s="990" vm="27">
        <f ca="1"/>
        <v>334.09</v>
      </c>
      <c r="D11" s="998">
        <f t="shared" ca="1" si="0"/>
        <v>1.4361185329123029E-2</v>
      </c>
      <c r="E11" s="990" cm="1">
        <f t="array" aca="1" ref="E11" ca="1">_xlfn.IFS(AND(D12&gt;=0,D11&gt;=0),22,AND(D12&gt;0,D11&lt;=0),21,  AND(D12&lt;0,D11&gt;0),12,AND(D12&lt;=0,D11&lt;=0),11)</f>
        <v>12</v>
      </c>
      <c r="F11" s="990">
        <f t="shared" ca="1" si="3"/>
        <v>1112</v>
      </c>
      <c r="G11" s="990">
        <f t="shared" ca="1" si="4"/>
        <v>121111</v>
      </c>
      <c r="H11" s="990" t="str" cm="1">
        <f t="array" aca="1" ref="H11" ca="1">_xlfn.IFS(D11&gt;0,"U",D11&lt;=0,"D",D11=0,"Z")</f>
        <v>U</v>
      </c>
      <c r="I11" s="990" t="str">
        <f t="shared" ca="1" si="5"/>
        <v>DU</v>
      </c>
      <c r="J11" s="990" t="str">
        <f t="shared" ca="1" si="6"/>
        <v>DDU</v>
      </c>
      <c r="V11" s="990">
        <f t="shared" ca="1" si="1"/>
        <v>11</v>
      </c>
      <c r="W11" s="990">
        <f t="shared" ca="1" si="2"/>
        <v>11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0.12599082186065916</v>
      </c>
      <c r="Z11" s="999">
        <f ca="1"/>
        <v>0.12599082186065916</v>
      </c>
      <c r="AA11" s="999">
        <f ca="1"/>
        <v>0.12682519816437213</v>
      </c>
      <c r="AB11" s="999">
        <f ca="1"/>
        <v>0.11264080100125157</v>
      </c>
      <c r="AC11" s="999">
        <f ca="1"/>
        <v>0.12599082186065916</v>
      </c>
      <c r="AD11" s="999">
        <f ca="1"/>
        <v>0.11347517730496454</v>
      </c>
      <c r="AE11" s="999">
        <f ca="1"/>
        <v>0.11264080100125157</v>
      </c>
      <c r="AF11" s="999">
        <f ca="1"/>
        <v>0.15644555694618273</v>
      </c>
      <c r="AK11" s="990" vm="28">
        <f ca="1"/>
        <v>45670</v>
      </c>
      <c r="AL11" s="990" vm="25">
        <f ca="1"/>
        <v>403.31</v>
      </c>
      <c r="AP11" s="990" vm="29">
        <f ca="1"/>
        <v>396.36</v>
      </c>
    </row>
    <row r="12" spans="2:42" ht="23" thickBot="1" x14ac:dyDescent="0.35">
      <c r="B12" s="990" vm="30">
        <f ca="1"/>
        <v>45902</v>
      </c>
      <c r="C12" s="990" vm="31">
        <f ca="1"/>
        <v>329.36</v>
      </c>
      <c r="D12" s="998">
        <f t="shared" ca="1" si="0"/>
        <v>-1.3508251714739242E-2</v>
      </c>
      <c r="E12" s="990" cm="1">
        <f t="array" aca="1" ref="E12" ca="1">_xlfn.IFS(AND(D13&gt;=0,D12&gt;=0),22,AND(D13&gt;0,D12&lt;=0),21,  AND(D13&lt;0,D12&gt;0),12,AND(D13&lt;=0,D12&lt;=0),11)</f>
        <v>11</v>
      </c>
      <c r="F12" s="990">
        <f t="shared" ca="1" si="3"/>
        <v>1111</v>
      </c>
      <c r="G12" s="990">
        <f t="shared" ca="1" si="4"/>
        <v>111111</v>
      </c>
      <c r="H12" s="990" t="str" cm="1">
        <f t="array" aca="1" ref="H12" ca="1">_xlfn.IFS(D12&gt;0,"U",D12&lt;=0,"D",D12=0,"Z")</f>
        <v>D</v>
      </c>
      <c r="I12" s="990" t="str">
        <f t="shared" ca="1" si="5"/>
        <v>DD</v>
      </c>
      <c r="J12" s="990" t="str">
        <f t="shared" ca="1" si="6"/>
        <v>DDD</v>
      </c>
      <c r="V12" s="990">
        <f t="shared" ca="1" si="1"/>
        <v>12</v>
      </c>
      <c r="W12" s="990">
        <f t="shared" ca="1" si="2"/>
        <v>10</v>
      </c>
      <c r="AK12" s="990" vm="32">
        <f ca="1"/>
        <v>45671</v>
      </c>
      <c r="AL12" s="990" vm="29">
        <f ca="1"/>
        <v>396.36</v>
      </c>
      <c r="AP12" s="990" vm="33">
        <f ca="1"/>
        <v>428.22</v>
      </c>
    </row>
    <row r="13" spans="2:42" ht="23" thickBot="1" x14ac:dyDescent="0.35">
      <c r="B13" s="990" vm="34">
        <f ca="1"/>
        <v>45898</v>
      </c>
      <c r="C13" s="990" vm="35">
        <f ca="1"/>
        <v>333.87</v>
      </c>
      <c r="D13" s="998">
        <f t="shared" ca="1" si="0"/>
        <v>-3.5002023238337517E-2</v>
      </c>
      <c r="E13" s="990" cm="1">
        <f t="array" aca="1" ref="E13" ca="1">_xlfn.IFS(AND(D14&gt;=0,D13&gt;=0),22,AND(D14&gt;0,D13&lt;=0),21,  AND(D14&lt;0,D13&gt;0),12,AND(D14&lt;=0,D13&lt;=0),11)</f>
        <v>11</v>
      </c>
      <c r="F13" s="990">
        <f t="shared" ca="1" si="3"/>
        <v>1111</v>
      </c>
      <c r="G13" s="990">
        <f t="shared" ca="1" si="4"/>
        <v>111121</v>
      </c>
      <c r="H13" s="990" t="str" cm="1">
        <f t="array" aca="1" ref="H13" ca="1">_xlfn.IFS(D13&gt;0,"U",D13&lt;=0,"D",D13=0,"Z")</f>
        <v>D</v>
      </c>
      <c r="I13" s="990" t="str">
        <f t="shared" ca="1" si="5"/>
        <v>DD</v>
      </c>
      <c r="J13" s="990" t="str">
        <f t="shared" ca="1" si="6"/>
        <v>DDD</v>
      </c>
      <c r="V13" s="990">
        <f t="shared" ca="1" si="1"/>
        <v>12</v>
      </c>
      <c r="W13" s="990">
        <f t="shared" ca="1" si="2"/>
        <v>10</v>
      </c>
      <c r="Y13" s="996" t="s">
        <v>2412</v>
      </c>
      <c r="Z13" s="1090" t="str">
        <f ca="1">J5</f>
        <v>UUU</v>
      </c>
      <c r="AA13" s="1021">
        <f ca="1">_xlfn.XLOOKUP(Z13,Y10:AF10,Y11:AF11)</f>
        <v>0.15644555694618273</v>
      </c>
      <c r="AB13" s="994"/>
      <c r="AK13" s="990" vm="36">
        <f ca="1"/>
        <v>45672</v>
      </c>
      <c r="AL13" s="990" vm="33">
        <f ca="1"/>
        <v>428.22</v>
      </c>
      <c r="AP13" s="990" vm="37">
        <f ca="1"/>
        <v>413.82</v>
      </c>
    </row>
    <row r="14" spans="2:42" x14ac:dyDescent="0.3">
      <c r="B14" s="990" vm="38">
        <f ca="1"/>
        <v>45897</v>
      </c>
      <c r="C14" s="990" vm="39">
        <f ca="1"/>
        <v>345.98</v>
      </c>
      <c r="D14" s="998">
        <f t="shared" ca="1" si="0"/>
        <v>-1.0354691075514887E-2</v>
      </c>
      <c r="E14" s="990" cm="1">
        <f t="array" aca="1" ref="E14" ca="1">_xlfn.IFS(AND(D15&gt;=0,D14&gt;=0),22,AND(D15&gt;0,D14&lt;=0),21,  AND(D15&lt;0,D14&gt;0),12,AND(D15&lt;=0,D14&lt;=0),11)</f>
        <v>11</v>
      </c>
      <c r="F14" s="990">
        <f t="shared" ca="1" si="3"/>
        <v>2111</v>
      </c>
      <c r="G14" s="990">
        <f t="shared" ca="1" si="4"/>
        <v>112122</v>
      </c>
      <c r="H14" s="990" t="str" cm="1">
        <f t="array" aca="1" ref="H14" ca="1">_xlfn.IFS(D14&gt;0,"U",D14&lt;=0,"D",D14=0,"Z")</f>
        <v>D</v>
      </c>
      <c r="I14" s="990" t="str">
        <f t="shared" ca="1" si="5"/>
        <v>DD</v>
      </c>
      <c r="J14" s="990" t="str">
        <f t="shared" ca="1" si="6"/>
        <v>UDD</v>
      </c>
      <c r="V14" s="990">
        <f t="shared" ca="1" si="1"/>
        <v>12</v>
      </c>
      <c r="W14" s="990">
        <f t="shared" ca="1" si="2"/>
        <v>10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0.2690863579474343</v>
      </c>
      <c r="AB14" s="1025"/>
      <c r="AK14" s="990" vm="40">
        <f ca="1"/>
        <v>45673</v>
      </c>
      <c r="AL14" s="990" vm="37">
        <f ca="1"/>
        <v>413.82</v>
      </c>
      <c r="AP14" s="990" vm="41">
        <f ca="1"/>
        <v>426.5</v>
      </c>
    </row>
    <row r="15" spans="2:42" ht="23" thickBot="1" x14ac:dyDescent="0.35">
      <c r="B15" s="990" vm="42">
        <f ca="1"/>
        <v>45896</v>
      </c>
      <c r="C15" s="990" vm="43">
        <f ca="1"/>
        <v>349.6</v>
      </c>
      <c r="D15" s="998">
        <f t="shared" ca="1" si="0"/>
        <v>-5.8862001308044275E-3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12</v>
      </c>
      <c r="W15" s="990">
        <f t="shared" ca="1" si="2"/>
        <v>10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0.2690863579474343</v>
      </c>
      <c r="AK15" s="990" vm="44">
        <f ca="1"/>
        <v>45674</v>
      </c>
      <c r="AL15" s="990" vm="41">
        <f ca="1"/>
        <v>426.5</v>
      </c>
      <c r="AP15" s="990" vm="45">
        <f ca="1"/>
        <v>424.07</v>
      </c>
    </row>
    <row r="16" spans="2:42" ht="23" thickBot="1" x14ac:dyDescent="0.35">
      <c r="B16" s="990" vm="46">
        <f ca="1"/>
        <v>45895</v>
      </c>
      <c r="C16" s="990" vm="47">
        <f ca="1"/>
        <v>351.67</v>
      </c>
      <c r="D16" s="998">
        <f t="shared" ca="1" si="0"/>
        <v>1.4627813040969396E-2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222212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11</v>
      </c>
      <c r="W16" s="990">
        <f t="shared" ca="1" si="2"/>
        <v>11</v>
      </c>
      <c r="AK16" s="990" vm="48">
        <f ca="1"/>
        <v>45678</v>
      </c>
      <c r="AL16" s="990" vm="45">
        <f ca="1"/>
        <v>424.07</v>
      </c>
      <c r="AP16" s="990" vm="49">
        <f ca="1"/>
        <v>415.11</v>
      </c>
    </row>
    <row r="17" spans="2:42" ht="23" thickBot="1" x14ac:dyDescent="0.35">
      <c r="B17" s="990" vm="50">
        <f ca="1"/>
        <v>45894</v>
      </c>
      <c r="C17" s="990" vm="51">
        <f ca="1"/>
        <v>346.6</v>
      </c>
      <c r="D17" s="998">
        <f t="shared" ca="1" si="0"/>
        <v>1.9381782888738659E-2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1222</v>
      </c>
      <c r="G17" s="990">
        <f t="shared" ca="1" si="4"/>
        <v>221211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DUU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11</v>
      </c>
      <c r="W17" s="990">
        <f t="shared" ca="1" si="2"/>
        <v>11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0.15644555694618273</v>
      </c>
      <c r="AK17" s="990" vm="52">
        <f ca="1"/>
        <v>45679</v>
      </c>
      <c r="AL17" s="990" vm="49">
        <f ca="1"/>
        <v>415.11</v>
      </c>
      <c r="AP17" s="990" vm="53">
        <f ca="1"/>
        <v>412.38</v>
      </c>
    </row>
    <row r="18" spans="2:42" x14ac:dyDescent="0.3">
      <c r="B18" s="990" vm="54">
        <f ca="1"/>
        <v>45891</v>
      </c>
      <c r="C18" s="990" vm="55">
        <f ca="1"/>
        <v>340.01</v>
      </c>
      <c r="D18" s="998">
        <f t="shared" ca="1" si="0"/>
        <v>6.2166130392677446E-2</v>
      </c>
      <c r="E18" s="990" cm="1">
        <f t="array" aca="1" ref="E18" ca="1">_xlfn.IFS(AND(D19&gt;=0,D18&gt;=0),22,AND(D19&gt;0,D18&lt;=0),21,  AND(D19&lt;0,D18&gt;0),12,AND(D19&lt;=0,D18&lt;=0),11)</f>
        <v>12</v>
      </c>
      <c r="F18" s="990">
        <f t="shared" ca="1" si="3"/>
        <v>1112</v>
      </c>
      <c r="G18" s="990">
        <f t="shared" ca="1" si="4"/>
        <v>121111</v>
      </c>
      <c r="H18" s="990" t="str" cm="1">
        <f t="array" aca="1" ref="H18" ca="1">_xlfn.IFS(D18&gt;0,"U",D18&lt;=0,"D",D18=0,"Z")</f>
        <v>U</v>
      </c>
      <c r="I18" s="990" t="str">
        <f t="shared" ca="1" si="5"/>
        <v>DU</v>
      </c>
      <c r="J18" s="990" t="str">
        <f t="shared" ca="1" si="6"/>
        <v>DDU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12</v>
      </c>
      <c r="W18" s="990">
        <f t="shared" ca="1" si="2"/>
        <v>10</v>
      </c>
      <c r="Y18" s="994" t="s">
        <v>2415</v>
      </c>
      <c r="Z18" s="990" t="s">
        <v>2439</v>
      </c>
      <c r="AA18" s="994" t="s">
        <v>1970</v>
      </c>
      <c r="AK18" s="990" vm="56">
        <f ca="1"/>
        <v>45680</v>
      </c>
      <c r="AL18" s="990" vm="53">
        <f ca="1"/>
        <v>412.38</v>
      </c>
      <c r="AP18" s="990" vm="57">
        <f ca="1"/>
        <v>406.58</v>
      </c>
    </row>
    <row r="19" spans="2:42" ht="23" thickBot="1" x14ac:dyDescent="0.35">
      <c r="B19" s="990" vm="58">
        <f ca="1"/>
        <v>45890</v>
      </c>
      <c r="C19" s="990" vm="59">
        <f ca="1"/>
        <v>320.11</v>
      </c>
      <c r="D19" s="998">
        <f t="shared" ca="1" si="0"/>
        <v>-1.1701142327878864E-2</v>
      </c>
      <c r="E19" s="990" cm="1">
        <f t="array" aca="1" ref="E19" ca="1">_xlfn.IFS(AND(D20&gt;=0,D19&gt;=0),22,AND(D20&gt;0,D19&lt;=0),21,  AND(D20&lt;0,D19&gt;0),12,AND(D20&lt;=0,D19&lt;=0),11)</f>
        <v>11</v>
      </c>
      <c r="F19" s="990">
        <f t="shared" ca="1" si="3"/>
        <v>1111</v>
      </c>
      <c r="G19" s="990">
        <f t="shared" ca="1" si="4"/>
        <v>111121</v>
      </c>
      <c r="H19" s="990" t="str" cm="1">
        <f t="array" aca="1" ref="H19" ca="1">_xlfn.IFS(D19&gt;0,"U",D19&lt;=0,"D",D19=0,"Z")</f>
        <v>D</v>
      </c>
      <c r="I19" s="990" t="str">
        <f t="shared" ca="1" si="5"/>
        <v>DD</v>
      </c>
      <c r="J19" s="990" t="str">
        <f t="shared" ca="1" si="6"/>
        <v>DDD</v>
      </c>
      <c r="L19" s="994">
        <f ca="1">COUNTIF($E5:$E147,L17)</f>
        <v>37</v>
      </c>
      <c r="M19" s="994">
        <f t="shared" ref="M19:O19" ca="1" si="8">COUNTIF($E5:$E147,M17)</f>
        <v>35</v>
      </c>
      <c r="N19" s="994">
        <f t="shared" ca="1" si="8"/>
        <v>34</v>
      </c>
      <c r="O19" s="994">
        <f t="shared" ca="1" si="8"/>
        <v>37</v>
      </c>
      <c r="P19" s="990">
        <f ca="1">SUM($L$19:$O$19)</f>
        <v>143</v>
      </c>
      <c r="V19" s="990">
        <f t="shared" ca="1" si="1"/>
        <v>12</v>
      </c>
      <c r="W19" s="990">
        <f t="shared" ca="1" si="2"/>
        <v>10</v>
      </c>
      <c r="Y19" s="999">
        <f ca="1">AA17*$AA$14</f>
        <v>4.2097365135706243E-2</v>
      </c>
      <c r="Z19" s="994">
        <f ca="1">COUNTIF(J5:J155,"??U")</f>
        <v>74</v>
      </c>
      <c r="AA19" s="999">
        <f ca="1">Z19/(Z19+Z22)</f>
        <v>0.49006622516556292</v>
      </c>
      <c r="AK19" s="990" vm="60">
        <f ca="1"/>
        <v>45681</v>
      </c>
      <c r="AL19" s="990" vm="57">
        <f ca="1"/>
        <v>406.58</v>
      </c>
      <c r="AP19" s="990" vm="61">
        <f ca="1"/>
        <v>397.15</v>
      </c>
    </row>
    <row r="20" spans="2:42" ht="23" thickBot="1" x14ac:dyDescent="0.35">
      <c r="B20" s="990" vm="62">
        <f ca="1"/>
        <v>45889</v>
      </c>
      <c r="C20" s="990" vm="63">
        <f ca="1"/>
        <v>323.89999999999998</v>
      </c>
      <c r="D20" s="998">
        <f t="shared" ca="1" si="0"/>
        <v>-1.6428289453706311E-2</v>
      </c>
      <c r="E20" s="990" cm="1">
        <f t="array" aca="1" ref="E20" ca="1">_xlfn.IFS(AND(D21&gt;=0,D20&gt;=0),22,AND(D21&gt;0,D20&lt;=0),21,  AND(D21&lt;0,D20&gt;0),12,AND(D21&lt;=0,D20&lt;=0),11)</f>
        <v>11</v>
      </c>
      <c r="F20" s="990">
        <f t="shared" ca="1" si="3"/>
        <v>2111</v>
      </c>
      <c r="G20" s="990">
        <f t="shared" ca="1" si="4"/>
        <v>112112</v>
      </c>
      <c r="H20" s="990" t="str" cm="1">
        <f t="array" aca="1" ref="H20" ca="1">_xlfn.IFS(D20&gt;0,"U",D20&lt;=0,"D",D20=0,"Z")</f>
        <v>D</v>
      </c>
      <c r="I20" s="990" t="str">
        <f t="shared" ca="1" si="5"/>
        <v>DD</v>
      </c>
      <c r="J20" s="990" t="str">
        <f t="shared" ca="1" si="6"/>
        <v>UDD</v>
      </c>
      <c r="K20" s="990" t="s">
        <v>2401</v>
      </c>
      <c r="L20" s="994">
        <f ca="1">COUNTIF($I5:$I147,L16)</f>
        <v>37</v>
      </c>
      <c r="M20" s="994">
        <f t="shared" ref="M20:O20" ca="1" si="9">COUNTIF($I5:$I147,M16)</f>
        <v>35</v>
      </c>
      <c r="N20" s="994">
        <f t="shared" ca="1" si="9"/>
        <v>34</v>
      </c>
      <c r="O20" s="994">
        <f t="shared" ca="1" si="9"/>
        <v>37</v>
      </c>
      <c r="P20" s="990">
        <f ca="1">SUM($L$20:$O$20)</f>
        <v>143</v>
      </c>
      <c r="V20" s="990">
        <f t="shared" ca="1" si="1"/>
        <v>11</v>
      </c>
      <c r="W20" s="990">
        <f t="shared" ca="1" si="2"/>
        <v>11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0.11264080100125157</v>
      </c>
      <c r="AK20" s="990" vm="64">
        <f ca="1"/>
        <v>45684</v>
      </c>
      <c r="AL20" s="990" vm="61">
        <f ca="1"/>
        <v>397.15</v>
      </c>
      <c r="AP20" s="990" vm="65">
        <f ca="1"/>
        <v>398.09</v>
      </c>
    </row>
    <row r="21" spans="2:42" x14ac:dyDescent="0.3">
      <c r="B21" s="990" vm="66">
        <f ca="1"/>
        <v>45888</v>
      </c>
      <c r="C21" s="990" vm="67">
        <f ca="1"/>
        <v>329.31</v>
      </c>
      <c r="D21" s="998">
        <f t="shared" ca="1" si="0"/>
        <v>-1.7454350161117144E-2</v>
      </c>
      <c r="E21" s="990" cm="1">
        <f t="array" aca="1" ref="E21" ca="1">_xlfn.IFS(AND(D22&gt;=0,D21&gt;=0),22,AND(D22&gt;0,D21&lt;=0),21,  AND(D22&lt;0,D21&gt;0),12,AND(D22&lt;=0,D21&lt;=0),11)</f>
        <v>21</v>
      </c>
      <c r="F21" s="990">
        <f t="shared" ca="1" si="3"/>
        <v>1221</v>
      </c>
      <c r="G21" s="990">
        <f t="shared" ca="1" si="4"/>
        <v>211211</v>
      </c>
      <c r="H21" s="990" t="str" cm="1">
        <f t="array" aca="1" ref="H21" ca="1">_xlfn.IFS(D21&gt;0,"U",D21&lt;=0,"D",D21=0,"Z")</f>
        <v>D</v>
      </c>
      <c r="I21" s="990" t="str">
        <f t="shared" ca="1" si="5"/>
        <v>UD</v>
      </c>
      <c r="J21" s="990" t="str">
        <f t="shared" ca="1" si="6"/>
        <v>DUD</v>
      </c>
      <c r="V21" s="990">
        <f t="shared" ca="1" si="1"/>
        <v>11</v>
      </c>
      <c r="W21" s="990">
        <f t="shared" ca="1" si="2"/>
        <v>11</v>
      </c>
      <c r="Y21" s="990" t="s">
        <v>2417</v>
      </c>
      <c r="Z21" s="990" t="s">
        <v>2418</v>
      </c>
      <c r="AK21" s="990" vm="68">
        <f ca="1"/>
        <v>45685</v>
      </c>
      <c r="AL21" s="990" vm="65">
        <f ca="1"/>
        <v>398.09</v>
      </c>
      <c r="AP21" s="990" vm="69">
        <f ca="1"/>
        <v>389.1</v>
      </c>
    </row>
    <row r="22" spans="2:42" ht="23" customHeight="1" x14ac:dyDescent="0.3">
      <c r="B22" s="990" vm="70">
        <f ca="1"/>
        <v>45887</v>
      </c>
      <c r="C22" s="990" vm="71">
        <f ca="1"/>
        <v>335.16</v>
      </c>
      <c r="D22" s="998">
        <f t="shared" ca="1" si="0"/>
        <v>1.3915779283639953E-2</v>
      </c>
      <c r="E22" s="990" cm="1">
        <f t="array" aca="1" ref="E22" ca="1">_xlfn.IFS(AND(D23&gt;=0,D22&gt;=0),22,AND(D23&gt;0,D22&lt;=0),21,  AND(D23&lt;0,D22&gt;0),12,AND(D23&lt;=0,D22&lt;=0),11)</f>
        <v>12</v>
      </c>
      <c r="F22" s="990">
        <f t="shared" ca="1" si="3"/>
        <v>1112</v>
      </c>
      <c r="G22" s="990">
        <f t="shared" ca="1" si="4"/>
        <v>121111</v>
      </c>
      <c r="H22" s="990" t="str" cm="1">
        <f t="array" aca="1" ref="H22" ca="1">_xlfn.IFS(D22&gt;0,"U",D22&lt;=0,"D",D22=0,"Z")</f>
        <v>U</v>
      </c>
      <c r="I22" s="990" t="str">
        <f t="shared" ca="1" si="5"/>
        <v>DU</v>
      </c>
      <c r="J22" s="990" t="str">
        <f t="shared" ca="1" si="6"/>
        <v>DDU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10</v>
      </c>
      <c r="W22" s="990">
        <f t="shared" ca="1" si="2"/>
        <v>12</v>
      </c>
      <c r="Y22" s="999">
        <f ca="1">AA20*$AA$14</f>
        <v>3.0310102897708496E-2</v>
      </c>
      <c r="Z22" s="994">
        <f ca="1">COUNTIF(J5:J155,"??D")</f>
        <v>77</v>
      </c>
      <c r="AA22" s="999">
        <f ca="1">Z22/(Z19+Z22)</f>
        <v>0.50993377483443714</v>
      </c>
      <c r="AK22" s="990" vm="72">
        <f ca="1"/>
        <v>45686</v>
      </c>
      <c r="AL22" s="990" vm="69">
        <f ca="1"/>
        <v>389.1</v>
      </c>
      <c r="AP22" s="990" vm="73">
        <f ca="1"/>
        <v>400.28</v>
      </c>
    </row>
    <row r="23" spans="2:42" x14ac:dyDescent="0.3">
      <c r="B23" s="990" vm="74">
        <f ca="1"/>
        <v>45884</v>
      </c>
      <c r="C23" s="990" vm="75">
        <f ca="1"/>
        <v>330.56</v>
      </c>
      <c r="D23" s="998">
        <f t="shared" ca="1" si="0"/>
        <v>-1.4959175159425419E-2</v>
      </c>
      <c r="E23" s="990" cm="1">
        <f t="array" aca="1" ref="E23" ca="1">_xlfn.IFS(AND(D24&gt;=0,D23&gt;=0),22,AND(D24&gt;0,D23&lt;=0),21,  AND(D24&lt;0,D23&gt;0),12,AND(D24&lt;=0,D23&lt;=0),11)</f>
        <v>11</v>
      </c>
      <c r="F23" s="990">
        <f t="shared" ca="1" si="3"/>
        <v>1111</v>
      </c>
      <c r="G23" s="990">
        <f t="shared" ca="1" si="4"/>
        <v>111121</v>
      </c>
      <c r="H23" s="990" t="str" cm="1">
        <f t="array" aca="1" ref="H23" ca="1">_xlfn.IFS(D23&gt;0,"U",D23&lt;=0,"D",D23=0,"Z")</f>
        <v>D</v>
      </c>
      <c r="I23" s="990" t="str">
        <f t="shared" ca="1" si="5"/>
        <v>DD</v>
      </c>
      <c r="J23" s="990" t="str">
        <f t="shared" ca="1" si="6"/>
        <v>DDD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11</v>
      </c>
      <c r="W23" s="990">
        <f t="shared" ca="1" si="2"/>
        <v>11</v>
      </c>
      <c r="AK23" s="990" vm="76">
        <f ca="1"/>
        <v>45687</v>
      </c>
      <c r="AL23" s="990" vm="73">
        <f ca="1"/>
        <v>400.28</v>
      </c>
      <c r="AP23" s="990" vm="77">
        <f ca="1"/>
        <v>404.6</v>
      </c>
    </row>
    <row r="24" spans="2:42" ht="28" thickBot="1" x14ac:dyDescent="0.4">
      <c r="B24" s="990" vm="78">
        <f ca="1"/>
        <v>45883</v>
      </c>
      <c r="C24" s="990" vm="79">
        <f ca="1"/>
        <v>335.58</v>
      </c>
      <c r="D24" s="998">
        <f t="shared" ca="1" si="0"/>
        <v>-1.1196888443632541E-2</v>
      </c>
      <c r="E24" s="990" cm="1">
        <f t="array" aca="1" ref="E24" ca="1">_xlfn.IFS(AND(D25&gt;=0,D24&gt;=0),22,AND(D25&gt;0,D24&lt;=0),21,  AND(D25&lt;0,D24&gt;0),12,AND(D25&lt;=0,D24&lt;=0),11)</f>
        <v>11</v>
      </c>
      <c r="F24" s="990">
        <f t="shared" ca="1" si="3"/>
        <v>2111</v>
      </c>
      <c r="G24" s="990">
        <f t="shared" ca="1" si="4"/>
        <v>112122</v>
      </c>
      <c r="H24" s="990" t="str" cm="1">
        <f t="array" aca="1" ref="H24" ca="1">_xlfn.IFS(D24&gt;0,"U",D24&lt;=0,"D",D24=0,"Z")</f>
        <v>D</v>
      </c>
      <c r="I24" s="990" t="str">
        <f t="shared" ca="1" si="5"/>
        <v>DD</v>
      </c>
      <c r="J24" s="990" t="str">
        <f t="shared" ca="1" si="6"/>
        <v>UDD</v>
      </c>
      <c r="L24" s="1000" t="s">
        <v>2384</v>
      </c>
      <c r="M24" s="999">
        <v>0.01</v>
      </c>
      <c r="N24" s="999">
        <f ca="1">O19/(N19+O19)-M24</f>
        <v>0.51112676056338024</v>
      </c>
      <c r="O24" s="999">
        <f ca="1">N19/(O19+N19)</f>
        <v>0.47887323943661969</v>
      </c>
      <c r="V24" s="990">
        <f t="shared" ca="1" si="1"/>
        <v>10</v>
      </c>
      <c r="W24" s="990">
        <f t="shared" ca="1" si="2"/>
        <v>12</v>
      </c>
      <c r="Y24" s="1107" t="s">
        <v>2419</v>
      </c>
      <c r="Z24" s="1107"/>
      <c r="AA24" s="990" t="s">
        <v>2402</v>
      </c>
      <c r="AK24" s="990" vm="80">
        <f ca="1"/>
        <v>45688</v>
      </c>
      <c r="AL24" s="990" vm="77">
        <f ca="1"/>
        <v>404.6</v>
      </c>
      <c r="AP24" s="990" vm="81">
        <f ca="1"/>
        <v>383.68</v>
      </c>
    </row>
    <row r="25" spans="2:42" ht="21" customHeight="1" thickBot="1" x14ac:dyDescent="0.35">
      <c r="B25" s="990" vm="82">
        <f ca="1"/>
        <v>45882</v>
      </c>
      <c r="C25" s="990" vm="83">
        <f ca="1"/>
        <v>339.38</v>
      </c>
      <c r="D25" s="998">
        <f t="shared" ca="1" si="0"/>
        <v>-4.2835347963853408E-3</v>
      </c>
      <c r="E25" s="990" cm="1">
        <f t="array" aca="1" ref="E25" ca="1">_xlfn.IFS(AND(D26&gt;=0,D25&gt;=0),22,AND(D26&gt;0,D25&lt;=0),21,  AND(D26&lt;0,D25&gt;0),12,AND(D26&lt;=0,D25&lt;=0),11)</f>
        <v>21</v>
      </c>
      <c r="F25" s="990">
        <f t="shared" ca="1" si="3"/>
        <v>2221</v>
      </c>
      <c r="G25" s="990">
        <f t="shared" ca="1" si="4"/>
        <v>212222</v>
      </c>
      <c r="H25" s="990" t="str" cm="1">
        <f t="array" aca="1" ref="H25" ca="1">_xlfn.IFS(D25&gt;0,"U",D25&lt;=0,"D",D25=0,"Z")</f>
        <v>D</v>
      </c>
      <c r="I25" s="990" t="str">
        <f t="shared" ca="1" si="5"/>
        <v>UD</v>
      </c>
      <c r="J25" s="990" t="str">
        <f t="shared" ca="1" si="6"/>
        <v>UUD</v>
      </c>
      <c r="L25" s="1000" t="s">
        <v>2383</v>
      </c>
      <c r="M25" s="999">
        <v>0.01</v>
      </c>
      <c r="N25" s="999">
        <f ca="1">M19/(L20+M19)-M25</f>
        <v>0.4761111111111111</v>
      </c>
      <c r="O25" s="999">
        <f ca="1">L20/(L20+M19)</f>
        <v>0.51388888888888884</v>
      </c>
      <c r="V25" s="990">
        <f t="shared" ca="1" si="1"/>
        <v>10</v>
      </c>
      <c r="W25" s="990">
        <f t="shared" ca="1" si="2"/>
        <v>12</v>
      </c>
      <c r="Y25" s="1218" t="str">
        <f>Y6</f>
        <v>TSLA</v>
      </c>
      <c r="Z25" s="1097" t="s">
        <v>193</v>
      </c>
      <c r="AK25" s="990" vm="84">
        <f ca="1"/>
        <v>45691</v>
      </c>
      <c r="AL25" s="990" vm="81">
        <f ca="1"/>
        <v>383.68</v>
      </c>
      <c r="AP25" s="990" vm="85">
        <f ca="1"/>
        <v>392.21</v>
      </c>
    </row>
    <row r="26" spans="2:42" ht="21" customHeight="1" thickBot="1" x14ac:dyDescent="0.35">
      <c r="B26" s="990" vm="86">
        <f ca="1"/>
        <v>45881</v>
      </c>
      <c r="C26" s="990" vm="87">
        <f ca="1"/>
        <v>340.84</v>
      </c>
      <c r="D26" s="998">
        <f t="shared" ca="1" si="0"/>
        <v>5.3387605816594477E-3</v>
      </c>
      <c r="E26" s="990" cm="1">
        <f t="array" aca="1" ref="E26" ca="1">_xlfn.IFS(AND(D27&gt;=0,D26&gt;=0),22,AND(D27&gt;0,D26&lt;=0),21,  AND(D27&lt;0,D26&gt;0),12,AND(D27&lt;=0,D26&lt;=0),11)</f>
        <v>22</v>
      </c>
      <c r="F26" s="990">
        <f t="shared" ca="1" si="3"/>
        <v>2222</v>
      </c>
      <c r="G26" s="990">
        <f t="shared" ca="1" si="4"/>
        <v>222222</v>
      </c>
      <c r="H26" s="990" t="str" cm="1">
        <f t="array" aca="1" ref="H26" ca="1">_xlfn.IFS(D26&gt;0,"U",D26&lt;=0,"D",D26=0,"Z")</f>
        <v>U</v>
      </c>
      <c r="I26" s="990" t="str">
        <f t="shared" ca="1" si="5"/>
        <v>UU</v>
      </c>
      <c r="J26" s="990" t="str">
        <f t="shared" ca="1" si="6"/>
        <v>UUU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9</v>
      </c>
      <c r="W26" s="990">
        <f t="shared" ca="1" si="2"/>
        <v>13</v>
      </c>
      <c r="Y26" s="1219"/>
      <c r="Z26" s="1098" t="str" cm="1">
        <f t="array" aca="1" ref="Z26:AF26" ca="1">TRANSPOSE(J5:J11)</f>
        <v>UUU</v>
      </c>
      <c r="AA26" s="1015" t="str">
        <f ca="1"/>
        <v>DUU</v>
      </c>
      <c r="AB26" s="1016" t="str">
        <f ca="1"/>
        <v>UDU</v>
      </c>
      <c r="AC26" s="1016" t="str">
        <f ca="1"/>
        <v>UUD</v>
      </c>
      <c r="AD26" s="1016" t="str">
        <f ca="1"/>
        <v>UUU</v>
      </c>
      <c r="AE26" s="1016" t="str">
        <f ca="1"/>
        <v>DUU</v>
      </c>
      <c r="AF26" s="1017" t="str">
        <f ca="1"/>
        <v>DDU</v>
      </c>
      <c r="AK26" s="990" vm="88">
        <f ca="1"/>
        <v>45692</v>
      </c>
      <c r="AL26" s="990" vm="85">
        <f ca="1"/>
        <v>392.21</v>
      </c>
      <c r="AP26" s="990" vm="89">
        <f ca="1"/>
        <v>378.17</v>
      </c>
    </row>
    <row r="27" spans="2:42" ht="21" customHeight="1" thickBot="1" x14ac:dyDescent="0.35">
      <c r="B27" s="990" vm="90">
        <f ca="1"/>
        <v>45880</v>
      </c>
      <c r="C27" s="990" vm="91">
        <f ca="1"/>
        <v>339.03</v>
      </c>
      <c r="D27" s="998">
        <f t="shared" ca="1" si="0"/>
        <v>2.8454421355983608E-2</v>
      </c>
      <c r="E27" s="990" cm="1">
        <f t="array" aca="1" ref="E27" ca="1">_xlfn.IFS(AND(D28&gt;=0,D27&gt;=0),22,AND(D28&gt;0,D27&lt;=0),21,  AND(D28&lt;0,D27&gt;0),12,AND(D28&lt;=0,D27&lt;=0),11)</f>
        <v>22</v>
      </c>
      <c r="F27" s="990">
        <f t="shared" ca="1" si="3"/>
        <v>2222</v>
      </c>
      <c r="G27" s="990">
        <f t="shared" ca="1" si="4"/>
        <v>222222</v>
      </c>
      <c r="H27" s="990" t="str" cm="1">
        <f t="array" aca="1" ref="H27" ca="1">_xlfn.IFS(D27&gt;0,"U",D27&lt;=0,"D",D27=0,"Z")</f>
        <v>U</v>
      </c>
      <c r="I27" s="990" t="str">
        <f t="shared" ca="1" si="5"/>
        <v>UU</v>
      </c>
      <c r="J27" s="990" t="str">
        <f t="shared" ca="1" si="6"/>
        <v>UUU</v>
      </c>
      <c r="K27" s="1002">
        <v>11</v>
      </c>
      <c r="L27" s="990">
        <f ca="1">COUNTIF(F$5:F$145,"1111")</f>
        <v>18</v>
      </c>
      <c r="M27" s="990">
        <f ca="1">COUNTIF(F$5:F$145,"1112")</f>
        <v>18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9</v>
      </c>
      <c r="W27" s="990">
        <f t="shared" ca="1" si="2"/>
        <v>13</v>
      </c>
      <c r="Y27" s="1099" t="str">
        <f t="shared" ref="Y27:AF27" si="10">Y8</f>
        <v>Change</v>
      </c>
      <c r="Z27" s="1018">
        <f t="shared" ca="1" si="10"/>
        <v>6.0438770522441648E-2</v>
      </c>
      <c r="AA27" s="1018">
        <f t="shared" ca="1" si="10"/>
        <v>2.3633167132604926E-3</v>
      </c>
      <c r="AB27" s="1019">
        <f t="shared" ca="1" si="10"/>
        <v>1.6454965357969112E-3</v>
      </c>
      <c r="AC27" s="1019">
        <f t="shared" ca="1" si="10"/>
        <v>-1.2655341466195411E-2</v>
      </c>
      <c r="AD27" s="1019">
        <f t="shared" ca="1" si="10"/>
        <v>3.6363099282190656E-2</v>
      </c>
      <c r="AE27" s="1019">
        <f t="shared" ca="1" si="10"/>
        <v>1.3289832081175726E-2</v>
      </c>
      <c r="AF27" s="1020">
        <f t="shared" ca="1" si="10"/>
        <v>1.4361185329123029E-2</v>
      </c>
      <c r="AK27" s="990" vm="92">
        <f ca="1"/>
        <v>45693</v>
      </c>
      <c r="AL27" s="990" vm="89">
        <f ca="1"/>
        <v>378.17</v>
      </c>
      <c r="AP27" s="990" vm="93">
        <f ca="1"/>
        <v>374.32</v>
      </c>
    </row>
    <row r="28" spans="2:42" ht="23" thickBot="1" x14ac:dyDescent="0.35">
      <c r="B28" s="990" vm="94">
        <f ca="1"/>
        <v>45877</v>
      </c>
      <c r="C28" s="990" vm="95">
        <f ca="1"/>
        <v>329.65</v>
      </c>
      <c r="D28" s="998">
        <f t="shared" ca="1" si="0"/>
        <v>2.2900052750799007E-2</v>
      </c>
      <c r="E28" s="990" cm="1">
        <f t="array" aca="1" ref="E28" ca="1">_xlfn.IFS(AND(D29&gt;=0,D28&gt;=0),22,AND(D29&gt;0,D28&lt;=0),21,  AND(D29&lt;0,D28&gt;0),12,AND(D29&lt;=0,D28&lt;=0),11)</f>
        <v>22</v>
      </c>
      <c r="F28" s="990">
        <f t="shared" ca="1" si="3"/>
        <v>2222</v>
      </c>
      <c r="G28" s="990">
        <f t="shared" ca="1" si="4"/>
        <v>222212</v>
      </c>
      <c r="H28" s="990" t="str" cm="1">
        <f t="array" aca="1" ref="H28" ca="1">_xlfn.IFS(D28&gt;0,"U",D28&lt;=0,"D",D28=0,"Z")</f>
        <v>U</v>
      </c>
      <c r="I28" s="990" t="str">
        <f t="shared" ca="1" si="5"/>
        <v>UU</v>
      </c>
      <c r="J28" s="990" t="str">
        <f t="shared" ca="1" si="6"/>
        <v>UUU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19</v>
      </c>
      <c r="O28" s="990">
        <f ca="1">COUNTIF(F$5:F$145,"1222")</f>
        <v>16</v>
      </c>
      <c r="V28" s="990">
        <f t="shared" ca="1" si="1"/>
        <v>9</v>
      </c>
      <c r="W28" s="990">
        <f t="shared" ca="1" si="2"/>
        <v>13</v>
      </c>
      <c r="AK28" s="990" vm="96">
        <f ca="1"/>
        <v>45694</v>
      </c>
      <c r="AL28" s="990" vm="93">
        <f ca="1"/>
        <v>374.32</v>
      </c>
      <c r="AP28" s="990" vm="97">
        <f ca="1"/>
        <v>361.62</v>
      </c>
    </row>
    <row r="29" spans="2:42" ht="23" thickBot="1" x14ac:dyDescent="0.35">
      <c r="B29" s="990" vm="98">
        <f ca="1"/>
        <v>45876</v>
      </c>
      <c r="C29" s="990" vm="99">
        <f ca="1"/>
        <v>322.27</v>
      </c>
      <c r="D29" s="998">
        <f t="shared" ca="1" si="0"/>
        <v>7.3770748022880077E-3</v>
      </c>
      <c r="E29" s="990" cm="1">
        <f t="array" aca="1" ref="E29" ca="1">_xlfn.IFS(AND(D30&gt;=0,D29&gt;=0),22,AND(D30&gt;0,D29&lt;=0),21,  AND(D30&lt;0,D29&gt;0),12,AND(D30&lt;=0,D29&lt;=0),11)</f>
        <v>22</v>
      </c>
      <c r="F29" s="990">
        <f t="shared" ca="1" si="3"/>
        <v>1222</v>
      </c>
      <c r="G29" s="990">
        <f t="shared" ca="1" si="4"/>
        <v>221221</v>
      </c>
      <c r="H29" s="990" t="str" cm="1">
        <f t="array" aca="1" ref="H29" ca="1">_xlfn.IFS(D29&gt;0,"U",D29&lt;=0,"D",D29=0,"Z")</f>
        <v>U</v>
      </c>
      <c r="I29" s="990" t="str">
        <f t="shared" ca="1" si="5"/>
        <v>UU</v>
      </c>
      <c r="J29" s="990" t="str">
        <f t="shared" ca="1" si="6"/>
        <v>DUU</v>
      </c>
      <c r="K29" s="1002">
        <v>21</v>
      </c>
      <c r="L29" s="990">
        <f ca="1">COUNTIF(F$5:F$145,"2111")</f>
        <v>18</v>
      </c>
      <c r="M29" s="990">
        <f ca="1">COUNTIF(F$5:F$145,"2112")</f>
        <v>16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10</v>
      </c>
      <c r="W29" s="990">
        <f t="shared" ca="1" si="2"/>
        <v>12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100">
        <f ca="1"/>
        <v>45695</v>
      </c>
      <c r="AL29" s="990" vm="97">
        <f ca="1"/>
        <v>361.62</v>
      </c>
      <c r="AP29" s="990" vm="101">
        <f ca="1"/>
        <v>350.73</v>
      </c>
    </row>
    <row r="30" spans="2:42" x14ac:dyDescent="0.3">
      <c r="B30" s="990" vm="102">
        <f ca="1"/>
        <v>45875</v>
      </c>
      <c r="C30" s="990" vm="103">
        <f ca="1"/>
        <v>319.91000000000003</v>
      </c>
      <c r="D30" s="998">
        <f t="shared" ca="1" si="0"/>
        <v>3.624643690075148E-2</v>
      </c>
      <c r="E30" s="990" cm="1">
        <f t="array" aca="1" ref="E30" ca="1">_xlfn.IFS(AND(D31&gt;=0,D30&gt;=0),22,AND(D31&gt;0,D30&lt;=0),21,  AND(D31&lt;0,D30&gt;0),12,AND(D31&lt;=0,D30&lt;=0),11)</f>
        <v>12</v>
      </c>
      <c r="F30" s="990">
        <f t="shared" ca="1" si="3"/>
        <v>2112</v>
      </c>
      <c r="G30" s="990">
        <f t="shared" ca="1" si="4"/>
        <v>122112</v>
      </c>
      <c r="H30" s="990" t="str" cm="1">
        <f t="array" aca="1" ref="H30" ca="1">_xlfn.IFS(D30&gt;0,"U",D30&lt;=0,"D",D30=0,"Z")</f>
        <v>U</v>
      </c>
      <c r="I30" s="990" t="str">
        <f t="shared" ca="1" si="5"/>
        <v>DU</v>
      </c>
      <c r="J30" s="990" t="str">
        <f t="shared" ca="1" si="6"/>
        <v>UDU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15</v>
      </c>
      <c r="O30" s="990">
        <f ca="1">COUNTIF(F$5:F$145,"2222")</f>
        <v>21</v>
      </c>
      <c r="V30" s="990">
        <f t="shared" ca="1" si="1"/>
        <v>10</v>
      </c>
      <c r="W30" s="990">
        <f t="shared" ca="1" si="2"/>
        <v>12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0.19046999743923337</v>
      </c>
      <c r="Z30" s="1032">
        <f ca="1"/>
        <v>0.14286213948227178</v>
      </c>
      <c r="AA30" s="1032">
        <f ca="1"/>
        <v>4.7617255657074677E-2</v>
      </c>
      <c r="AB30" s="1032">
        <f ca="1"/>
        <v>0.14285066685714098</v>
      </c>
      <c r="AC30" s="1032">
        <f ca="1"/>
        <v>0.14286444767811546</v>
      </c>
      <c r="AD30" s="1032">
        <f ca="1"/>
        <v>4.762173591858003E-2</v>
      </c>
      <c r="AE30" s="1032">
        <f ca="1"/>
        <v>0.14284964629500135</v>
      </c>
      <c r="AF30" s="1032">
        <f ca="1"/>
        <v>0.14286411067258228</v>
      </c>
      <c r="AK30" s="990" vm="104">
        <f ca="1"/>
        <v>45698</v>
      </c>
      <c r="AL30" s="990" vm="101">
        <f ca="1"/>
        <v>350.73</v>
      </c>
      <c r="AP30" s="990" vm="105">
        <f ca="1"/>
        <v>328.5</v>
      </c>
    </row>
    <row r="31" spans="2:42" x14ac:dyDescent="0.3">
      <c r="B31" s="990" vm="106">
        <f ca="1"/>
        <v>45874</v>
      </c>
      <c r="C31" s="990" vm="107">
        <f ca="1"/>
        <v>308.72000000000003</v>
      </c>
      <c r="D31" s="998">
        <f t="shared" ca="1" si="0"/>
        <v>-1.7461036021469431E-3</v>
      </c>
      <c r="E31" s="990" cm="1">
        <f t="array" aca="1" ref="E31" ca="1">_xlfn.IFS(AND(D32&gt;=0,D31&gt;=0),22,AND(D32&gt;0,D31&lt;=0),21,  AND(D32&lt;0,D31&gt;0),12,AND(D32&lt;=0,D31&lt;=0),11)</f>
        <v>21</v>
      </c>
      <c r="F31" s="990">
        <f t="shared" ca="1" si="3"/>
        <v>1221</v>
      </c>
      <c r="G31" s="990">
        <f t="shared" ca="1" si="4"/>
        <v>211211</v>
      </c>
      <c r="H31" s="990" t="str" cm="1">
        <f t="array" aca="1" ref="H31" ca="1">_xlfn.IFS(D31&gt;0,"U",D31&lt;=0,"D",D31=0,"Z")</f>
        <v>D</v>
      </c>
      <c r="I31" s="990" t="str">
        <f t="shared" ca="1" si="5"/>
        <v>UD</v>
      </c>
      <c r="J31" s="990" t="str">
        <f t="shared" ca="1" si="6"/>
        <v>DUD</v>
      </c>
      <c r="K31" s="1002"/>
      <c r="L31" s="1002">
        <f ca="1">SUM(L27:L30)</f>
        <v>36</v>
      </c>
      <c r="M31" s="1002">
        <f ca="1">SUM(M27:M30)</f>
        <v>34</v>
      </c>
      <c r="N31" s="1002">
        <f ca="1">SUM(N27:N30)</f>
        <v>34</v>
      </c>
      <c r="O31" s="1002">
        <f ca="1">SUM(O27:O30)</f>
        <v>37</v>
      </c>
      <c r="P31" s="1002">
        <f ca="1">SUM(L27:O30)</f>
        <v>141</v>
      </c>
      <c r="V31" s="990">
        <f t="shared" ca="1" si="1"/>
        <v>11</v>
      </c>
      <c r="W31" s="990">
        <f t="shared" ca="1" si="2"/>
        <v>11</v>
      </c>
      <c r="AE31" s="1033"/>
      <c r="AF31" s="1033"/>
      <c r="AK31" s="990" vm="108">
        <f ca="1"/>
        <v>45699</v>
      </c>
      <c r="AL31" s="990" vm="105">
        <f ca="1"/>
        <v>328.5</v>
      </c>
      <c r="AP31" s="990" vm="109">
        <f ca="1"/>
        <v>336.51</v>
      </c>
    </row>
    <row r="32" spans="2:42" ht="24" customHeight="1" x14ac:dyDescent="0.3">
      <c r="B32" s="990" vm="110">
        <f ca="1"/>
        <v>45873</v>
      </c>
      <c r="C32" s="990" vm="111">
        <f ca="1"/>
        <v>309.26</v>
      </c>
      <c r="D32" s="998">
        <f t="shared" ca="1" si="0"/>
        <v>2.1907940389254189E-2</v>
      </c>
      <c r="E32" s="990" cm="1">
        <f t="array" aca="1" ref="E32" ca="1">_xlfn.IFS(AND(D33&gt;=0,D32&gt;=0),22,AND(D33&gt;0,D32&lt;=0),21,  AND(D33&lt;0,D32&gt;0),12,AND(D33&lt;=0,D32&lt;=0),11)</f>
        <v>12</v>
      </c>
      <c r="F32" s="990">
        <f t="shared" ca="1" si="3"/>
        <v>1112</v>
      </c>
      <c r="G32" s="990">
        <f t="shared" ca="1" si="4"/>
        <v>121111</v>
      </c>
      <c r="H32" s="990" t="str" cm="1">
        <f t="array" aca="1" ref="H32" ca="1">_xlfn.IFS(D32&gt;0,"U",D32&lt;=0,"D",D32=0,"Z")</f>
        <v>U</v>
      </c>
      <c r="I32" s="990" t="str">
        <f t="shared" ca="1" si="5"/>
        <v>DU</v>
      </c>
      <c r="J32" s="990" t="str">
        <f t="shared" ca="1" si="6"/>
        <v>DDU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11</v>
      </c>
      <c r="W32" s="990">
        <f t="shared" ca="1" si="2"/>
        <v>11</v>
      </c>
      <c r="AE32" s="1033"/>
      <c r="AF32" s="1033"/>
      <c r="AK32" s="990" vm="112">
        <f ca="1"/>
        <v>45700</v>
      </c>
      <c r="AL32" s="990" vm="109">
        <f ca="1"/>
        <v>336.51</v>
      </c>
      <c r="AP32" s="990" vm="113">
        <f ca="1"/>
        <v>355.94</v>
      </c>
    </row>
    <row r="33" spans="2:42" ht="23" customHeight="1" thickBot="1" x14ac:dyDescent="0.35">
      <c r="B33" s="990" vm="114">
        <f ca="1"/>
        <v>45870</v>
      </c>
      <c r="C33" s="990" vm="115">
        <f ca="1"/>
        <v>302.63</v>
      </c>
      <c r="D33" s="998">
        <f t="shared" ca="1" si="0"/>
        <v>-1.8295649917280263E-2</v>
      </c>
      <c r="E33" s="990" cm="1">
        <f t="array" aca="1" ref="E33" ca="1">_xlfn.IFS(AND(D34&gt;=0,D33&gt;=0),22,AND(D34&gt;0,D33&lt;=0),21,  AND(D34&lt;0,D33&gt;0),12,AND(D34&lt;=0,D33&lt;=0),11)</f>
        <v>11</v>
      </c>
      <c r="F33" s="990">
        <f t="shared" ca="1" si="3"/>
        <v>1111</v>
      </c>
      <c r="G33" s="990">
        <f t="shared" ca="1" si="4"/>
        <v>111111</v>
      </c>
      <c r="H33" s="990" t="str" cm="1">
        <f t="array" aca="1" ref="H33" ca="1">_xlfn.IFS(D33&gt;0,"U",D33&lt;=0,"D",D33=0,"Z")</f>
        <v>D</v>
      </c>
      <c r="I33" s="990" t="str">
        <f t="shared" ca="1" si="5"/>
        <v>DD</v>
      </c>
      <c r="J33" s="990" t="str">
        <f t="shared" ca="1" si="6"/>
        <v>DDD</v>
      </c>
      <c r="K33" s="1002">
        <v>11</v>
      </c>
      <c r="L33" s="1003">
        <f ca="1">L27/SUM($L27:$O27)</f>
        <v>0.5</v>
      </c>
      <c r="M33" s="1003">
        <f t="shared" ref="M33:O34" ca="1" si="11">M27/SUM($L27:$O27)</f>
        <v>0.5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11</v>
      </c>
      <c r="W33" s="990">
        <f t="shared" ca="1" si="2"/>
        <v>11</v>
      </c>
      <c r="Y33" s="1110" t="s">
        <v>2486</v>
      </c>
      <c r="Z33" s="1110"/>
      <c r="AA33" s="1110"/>
      <c r="AC33" s="1110" t="s">
        <v>2487</v>
      </c>
      <c r="AF33" s="1033"/>
      <c r="AK33" s="990" vm="116">
        <f ca="1"/>
        <v>45701</v>
      </c>
      <c r="AL33" s="990" vm="113">
        <f ca="1"/>
        <v>355.94</v>
      </c>
      <c r="AP33" s="990" vm="117">
        <f ca="1"/>
        <v>355.84</v>
      </c>
    </row>
    <row r="34" spans="2:42" ht="23" customHeight="1" x14ac:dyDescent="0.35">
      <c r="B34" s="990" vm="118">
        <f ca="1"/>
        <v>45869</v>
      </c>
      <c r="C34" s="990" vm="119">
        <f ca="1"/>
        <v>308.27</v>
      </c>
      <c r="D34" s="998">
        <f t="shared" ca="1" si="0"/>
        <v>-3.375752256770323E-2</v>
      </c>
      <c r="E34" s="990" cm="1">
        <f t="array" aca="1" ref="E34" ca="1">_xlfn.IFS(AND(D35&gt;=0,D34&gt;=0),22,AND(D35&gt;0,D34&lt;=0),21,  AND(D35&lt;0,D34&gt;0),12,AND(D35&lt;=0,D34&lt;=0),11)</f>
        <v>11</v>
      </c>
      <c r="F34" s="990">
        <f t="shared" ca="1" si="3"/>
        <v>1111</v>
      </c>
      <c r="G34" s="990">
        <f t="shared" ca="1" si="4"/>
        <v>111121</v>
      </c>
      <c r="H34" s="990" t="str" cm="1">
        <f t="array" aca="1" ref="H34" ca="1">_xlfn.IFS(D34&gt;0,"U",D34&lt;=0,"D",D34=0,"Z")</f>
        <v>D</v>
      </c>
      <c r="I34" s="990" t="str">
        <f t="shared" ca="1" si="5"/>
        <v>DD</v>
      </c>
      <c r="J34" s="990" t="str">
        <f t="shared" ca="1" si="6"/>
        <v>DDD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0.54285714285714282</v>
      </c>
      <c r="O34" s="1003">
        <f t="shared" ca="1" si="11"/>
        <v>0.45714285714285713</v>
      </c>
      <c r="P34" s="1004"/>
      <c r="V34" s="990">
        <f t="shared" ca="1" si="1"/>
        <v>11</v>
      </c>
      <c r="W34" s="990">
        <f t="shared" ca="1" si="2"/>
        <v>11</v>
      </c>
      <c r="Y34" s="1111" t="s">
        <v>2420</v>
      </c>
      <c r="Z34" s="1112"/>
      <c r="AA34" s="1108" t="s">
        <v>2485</v>
      </c>
      <c r="AC34" s="1170" t="s">
        <v>2411</v>
      </c>
      <c r="AD34" s="1171"/>
      <c r="AE34" s="1108" t="s">
        <v>2485</v>
      </c>
      <c r="AF34" s="1033"/>
      <c r="AK34" s="990" vm="120">
        <f ca="1"/>
        <v>45702</v>
      </c>
      <c r="AL34" s="990" vm="117">
        <f ca="1"/>
        <v>355.84</v>
      </c>
      <c r="AP34" s="990" vm="121">
        <f ca="1"/>
        <v>354.11</v>
      </c>
    </row>
    <row r="35" spans="2:42" ht="23" customHeight="1" thickBot="1" x14ac:dyDescent="0.35">
      <c r="B35" s="990" vm="122">
        <f ca="1"/>
        <v>45868</v>
      </c>
      <c r="C35" s="990" vm="123">
        <f ca="1"/>
        <v>319.04000000000002</v>
      </c>
      <c r="D35" s="998">
        <f t="shared" ca="1" si="0"/>
        <v>-6.7247820672477216E-3</v>
      </c>
      <c r="E35" s="990" cm="1">
        <f t="array" aca="1" ref="E35" ca="1">_xlfn.IFS(AND(D36&gt;=0,D35&gt;=0),22,AND(D36&gt;0,D35&lt;=0),21,  AND(D36&lt;0,D35&gt;0),12,AND(D36&lt;=0,D35&lt;=0),11)</f>
        <v>11</v>
      </c>
      <c r="F35" s="990">
        <f t="shared" ca="1" si="3"/>
        <v>2111</v>
      </c>
      <c r="G35" s="990">
        <f t="shared" ca="1" si="4"/>
        <v>112122</v>
      </c>
      <c r="H35" s="990" t="str" cm="1">
        <f t="array" aca="1" ref="H35" ca="1">_xlfn.IFS(D35&gt;0,"U",D35&lt;=0,"D",D35=0,"Z")</f>
        <v>D</v>
      </c>
      <c r="I35" s="990" t="str">
        <f t="shared" ca="1" si="5"/>
        <v>DD</v>
      </c>
      <c r="J35" s="990" t="str">
        <f t="shared" ca="1" si="6"/>
        <v>UDD</v>
      </c>
      <c r="K35" s="1002">
        <v>21</v>
      </c>
      <c r="L35" s="1003">
        <f t="shared" ref="L35:O36" ca="1" si="12">L29/SUM($L29:$O29)</f>
        <v>0.52941176470588236</v>
      </c>
      <c r="M35" s="1003">
        <f t="shared" ca="1" si="12"/>
        <v>0.47058823529411764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11</v>
      </c>
      <c r="W35" s="990">
        <f t="shared" ca="1" si="2"/>
        <v>11</v>
      </c>
      <c r="Y35" s="1113" t="s">
        <v>2412</v>
      </c>
      <c r="Z35" s="1114" t="str">
        <f ca="1">AD35</f>
        <v>UUU</v>
      </c>
      <c r="AA35" s="1109">
        <f ca="1">_xlfn.XLOOKUP(Z35,Y29:AF29,Y30:AF30)</f>
        <v>0.14286411067258228</v>
      </c>
      <c r="AB35" s="994"/>
      <c r="AC35" s="1172" t="str">
        <f t="shared" ref="AC35:AE37" si="13">Y13</f>
        <v>Last Ttriplet</v>
      </c>
      <c r="AD35" s="1173" t="str">
        <f t="shared" ca="1" si="13"/>
        <v>UUU</v>
      </c>
      <c r="AE35" s="1109">
        <f t="shared" ca="1" si="13"/>
        <v>0.15644555694618273</v>
      </c>
      <c r="AF35" s="1033"/>
      <c r="AK35" s="990" vm="124">
        <f ca="1"/>
        <v>45706</v>
      </c>
      <c r="AL35" s="990" vm="121">
        <f ca="1"/>
        <v>354.11</v>
      </c>
      <c r="AP35" s="990" vm="125">
        <f ca="1"/>
        <v>360.56</v>
      </c>
    </row>
    <row r="36" spans="2:42" ht="22" customHeight="1" x14ac:dyDescent="0.3">
      <c r="B36" s="990" vm="126">
        <f ca="1"/>
        <v>45867</v>
      </c>
      <c r="C36" s="990" vm="127">
        <f ca="1"/>
        <v>321.2</v>
      </c>
      <c r="D36" s="998">
        <f t="shared" ca="1" si="0"/>
        <v>-1.3483215086458389E-2</v>
      </c>
      <c r="E36" s="990" cm="1">
        <f t="array" aca="1" ref="E36" ca="1">_xlfn.IFS(AND(D37&gt;=0,D36&gt;=0),22,AND(D37&gt;0,D36&lt;=0),21,  AND(D37&lt;0,D36&gt;0),12,AND(D37&lt;=0,D36&lt;=0),11)</f>
        <v>21</v>
      </c>
      <c r="F36" s="990">
        <f t="shared" ca="1" si="3"/>
        <v>2221</v>
      </c>
      <c r="G36" s="990">
        <f t="shared" ca="1" si="4"/>
        <v>212212</v>
      </c>
      <c r="H36" s="990" t="str" cm="1">
        <f t="array" aca="1" ref="H36" ca="1">_xlfn.IFS(D36&gt;0,"U",D36&lt;=0,"D",D36=0,"Z")</f>
        <v>D</v>
      </c>
      <c r="I36" s="990" t="str">
        <f t="shared" ca="1" si="5"/>
        <v>UD</v>
      </c>
      <c r="J36" s="990" t="str">
        <f t="shared" ca="1" si="6"/>
        <v>UUD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0.41666666666666669</v>
      </c>
      <c r="O36" s="1003">
        <f t="shared" ca="1" si="12"/>
        <v>0.58333333333333337</v>
      </c>
      <c r="V36" s="990">
        <f t="shared" ca="1" si="1"/>
        <v>11</v>
      </c>
      <c r="W36" s="990">
        <f t="shared" ca="1" si="2"/>
        <v>11</v>
      </c>
      <c r="Y36" s="1022" t="str">
        <f>Y14</f>
        <v>Last 2 Days</v>
      </c>
      <c r="Z36" s="1178" t="str">
        <f ca="1">"Sum "&amp;Y37</f>
        <v>Sum UU</v>
      </c>
      <c r="AA36" s="1036" cm="1">
        <f t="array" aca="1" ref="AA36" ca="1">SUM( _xlfn._xlws.FILTER(Y30:AF30, LEFT(Y29:AF29,2)=Y37) )</f>
        <v>0.28571375696758361</v>
      </c>
      <c r="AC36" s="1022" t="str">
        <f t="shared" si="13"/>
        <v>Last 2 Days</v>
      </c>
      <c r="AD36" s="1178" t="str">
        <f ca="1">"Sum "&amp;AC37</f>
        <v>Sum UU</v>
      </c>
      <c r="AE36" s="1036">
        <f t="shared" ca="1" si="13"/>
        <v>0.2690863579474343</v>
      </c>
      <c r="AF36" s="1033"/>
      <c r="AK36" s="990" vm="128">
        <f ca="1"/>
        <v>45707</v>
      </c>
      <c r="AL36" s="990" vm="125">
        <f ca="1"/>
        <v>360.56</v>
      </c>
      <c r="AP36" s="990" vm="129">
        <f ca="1"/>
        <v>354.4</v>
      </c>
    </row>
    <row r="37" spans="2:42" ht="23" customHeight="1" thickBot="1" x14ac:dyDescent="0.35">
      <c r="B37" s="990" vm="130">
        <f ca="1"/>
        <v>45866</v>
      </c>
      <c r="C37" s="990" vm="131">
        <f ca="1"/>
        <v>325.58999999999997</v>
      </c>
      <c r="D37" s="998">
        <f t="shared" ca="1" si="0"/>
        <v>3.0152502689362693E-2</v>
      </c>
      <c r="E37" s="990" cm="1">
        <f t="array" aca="1" ref="E37" ca="1">_xlfn.IFS(AND(D38&gt;=0,D37&gt;=0),22,AND(D38&gt;0,D37&lt;=0),21,  AND(D38&lt;0,D37&gt;0),12,AND(D38&lt;=0,D37&lt;=0),11)</f>
        <v>22</v>
      </c>
      <c r="F37" s="990">
        <f t="shared" ca="1" si="3"/>
        <v>1222</v>
      </c>
      <c r="G37" s="990">
        <f t="shared" ca="1" si="4"/>
        <v>221221</v>
      </c>
      <c r="H37" s="990" t="str" cm="1">
        <f t="array" aca="1" ref="H37" ca="1">_xlfn.IFS(D37&gt;0,"U",D37&lt;=0,"D",D37=0,"Z")</f>
        <v>U</v>
      </c>
      <c r="I37" s="990" t="str">
        <f t="shared" ca="1" si="5"/>
        <v>UU</v>
      </c>
      <c r="J37" s="990" t="str">
        <f t="shared" ca="1" si="6"/>
        <v>DUU</v>
      </c>
      <c r="V37" s="990">
        <f t="shared" ca="1" si="1"/>
        <v>11</v>
      </c>
      <c r="W37" s="990">
        <f t="shared" ca="1" si="2"/>
        <v>11</v>
      </c>
      <c r="Y37" s="1026" t="str">
        <f ca="1">Last2Days</f>
        <v>UU</v>
      </c>
      <c r="Z37" s="1179" t="s">
        <v>2491</v>
      </c>
      <c r="AA37" s="1039" cm="1">
        <f t="array" aca="1" ref="AA37" ca="1">SUMPRODUCT( (LEFT(Y29:AF29,2)=Y37) * Y30:AF30 )</f>
        <v>0.28571375696758361</v>
      </c>
      <c r="AC37" s="1026" t="str">
        <f ca="1">Last2Days</f>
        <v>UU</v>
      </c>
      <c r="AD37" s="1179" t="s">
        <v>2491</v>
      </c>
      <c r="AE37" s="1039">
        <f t="shared" ca="1" si="13"/>
        <v>0.2690863579474343</v>
      </c>
      <c r="AF37" s="1033"/>
      <c r="AK37" s="990" vm="132">
        <f ca="1"/>
        <v>45708</v>
      </c>
      <c r="AL37" s="990" vm="129">
        <f ca="1"/>
        <v>354.4</v>
      </c>
      <c r="AP37" s="990" vm="133">
        <f ca="1"/>
        <v>337.8</v>
      </c>
    </row>
    <row r="38" spans="2:42" ht="23" thickBot="1" x14ac:dyDescent="0.35">
      <c r="B38" s="990" vm="134">
        <f ca="1"/>
        <v>45863</v>
      </c>
      <c r="C38" s="990" vm="135">
        <f ca="1"/>
        <v>316.06</v>
      </c>
      <c r="D38" s="998">
        <f t="shared" ca="1" si="0"/>
        <v>3.5244022273173893E-2</v>
      </c>
      <c r="E38" s="990" cm="1">
        <f t="array" aca="1" ref="E38" ca="1">_xlfn.IFS(AND(D39&gt;=0,D38&gt;=0),22,AND(D39&gt;0,D38&lt;=0),21,  AND(D39&lt;0,D38&gt;0),12,AND(D39&lt;=0,D38&lt;=0),11)</f>
        <v>12</v>
      </c>
      <c r="F38" s="990">
        <f t="shared" ca="1" si="3"/>
        <v>2112</v>
      </c>
      <c r="G38" s="990">
        <f t="shared" ca="1" si="4"/>
        <v>122122</v>
      </c>
      <c r="H38" s="990" t="str" cm="1">
        <f t="array" aca="1" ref="H38" ca="1">_xlfn.IFS(D38&gt;0,"U",D38&lt;=0,"D",D38=0,"Z")</f>
        <v>U</v>
      </c>
      <c r="I38" s="990" t="str">
        <f t="shared" ca="1" si="5"/>
        <v>DU</v>
      </c>
      <c r="J38" s="990" t="str">
        <f t="shared" ca="1" si="6"/>
        <v>UDU</v>
      </c>
      <c r="V38" s="990">
        <f t="shared" ca="1" si="1"/>
        <v>12</v>
      </c>
      <c r="W38" s="990">
        <f t="shared" ca="1" si="2"/>
        <v>10</v>
      </c>
      <c r="AF38" s="1033"/>
      <c r="AK38" s="990" vm="136">
        <f ca="1"/>
        <v>45709</v>
      </c>
      <c r="AL38" s="990" vm="133">
        <f ca="1"/>
        <v>337.8</v>
      </c>
      <c r="AP38" s="990" vm="137">
        <f ca="1"/>
        <v>330.53</v>
      </c>
    </row>
    <row r="39" spans="2:42" ht="23" thickBot="1" x14ac:dyDescent="0.35">
      <c r="B39" s="990" vm="138">
        <f ca="1"/>
        <v>45862</v>
      </c>
      <c r="C39" s="990" vm="139">
        <f ca="1"/>
        <v>305.3</v>
      </c>
      <c r="D39" s="998">
        <f t="shared" ca="1" si="0"/>
        <v>-8.1970170796247271E-2</v>
      </c>
      <c r="E39" s="990" cm="1">
        <f t="array" aca="1" ref="E39" ca="1">_xlfn.IFS(AND(D40&gt;=0,D39&gt;=0),22,AND(D40&gt;0,D39&lt;=0),21,  AND(D40&lt;0,D39&gt;0),12,AND(D40&lt;=0,D39&lt;=0),11)</f>
        <v>21</v>
      </c>
      <c r="F39" s="990">
        <f t="shared" ca="1" si="3"/>
        <v>2221</v>
      </c>
      <c r="G39" s="990">
        <f t="shared" ca="1" si="4"/>
        <v>212212</v>
      </c>
      <c r="H39" s="990" t="str" cm="1">
        <f t="array" aca="1" ref="H39" ca="1">_xlfn.IFS(D39&gt;0,"U",D39&lt;=0,"D",D39=0,"Z")</f>
        <v>D</v>
      </c>
      <c r="I39" s="990" t="str">
        <f t="shared" ca="1" si="5"/>
        <v>UD</v>
      </c>
      <c r="J39" s="990" t="str">
        <f t="shared" ca="1" si="6"/>
        <v>UUD</v>
      </c>
      <c r="V39" s="990">
        <f t="shared" ca="1" si="1"/>
        <v>13</v>
      </c>
      <c r="W39" s="990">
        <f t="shared" ca="1" si="2"/>
        <v>9</v>
      </c>
      <c r="Y39" s="1044" t="s">
        <v>2414</v>
      </c>
      <c r="Z39" s="1031" cm="1">
        <f t="array" aca="1" ref="Z39" ca="1">_xlfn.XLOOKUP(Y37&amp;"U",Y29:AF29,_xlfn.ANCHORARRAY(Y30))</f>
        <v>0.14286411067258228</v>
      </c>
      <c r="AC39" s="1044" t="str">
        <f>Z17</f>
        <v>Stationary P(U)</v>
      </c>
      <c r="AD39" s="1031">
        <f ca="1">AA17</f>
        <v>0.15644555694618273</v>
      </c>
      <c r="AF39" s="1033"/>
      <c r="AK39" s="990" vm="140">
        <f ca="1"/>
        <v>45712</v>
      </c>
      <c r="AL39" s="990" vm="137">
        <f ca="1"/>
        <v>330.53</v>
      </c>
      <c r="AP39" s="990" vm="141">
        <f ca="1"/>
        <v>302.8</v>
      </c>
    </row>
    <row r="40" spans="2:42" ht="23" thickBot="1" x14ac:dyDescent="0.35">
      <c r="B40" s="990" vm="142">
        <f ca="1"/>
        <v>45861</v>
      </c>
      <c r="C40" s="990" vm="143">
        <f ca="1"/>
        <v>332.56</v>
      </c>
      <c r="D40" s="998">
        <f t="shared" ca="1" si="0"/>
        <v>1.354972749992438E-3</v>
      </c>
      <c r="E40" s="990" cm="1">
        <f t="array" aca="1" ref="E40" ca="1">_xlfn.IFS(AND(D41&gt;=0,D40&gt;=0),22,AND(D41&gt;0,D40&lt;=0),21,  AND(D41&lt;0,D40&gt;0),12,AND(D41&lt;=0,D40&lt;=0),11)</f>
        <v>22</v>
      </c>
      <c r="F40" s="990">
        <f t="shared" ca="1" si="3"/>
        <v>1222</v>
      </c>
      <c r="G40" s="990">
        <f t="shared" ca="1" si="4"/>
        <v>221221</v>
      </c>
      <c r="H40" s="990" t="str" cm="1">
        <f t="array" aca="1" ref="H40" ca="1">_xlfn.IFS(D40&gt;0,"U",D40&lt;=0,"D",D40=0,"Z")</f>
        <v>U</v>
      </c>
      <c r="I40" s="990" t="str">
        <f t="shared" ca="1" si="5"/>
        <v>UU</v>
      </c>
      <c r="J40" s="990" t="str">
        <f t="shared" ca="1" si="6"/>
        <v>DUU</v>
      </c>
      <c r="L40" s="990" t="s">
        <v>2402</v>
      </c>
      <c r="V40" s="990">
        <f t="shared" ca="1" si="1"/>
        <v>12</v>
      </c>
      <c r="W40" s="990">
        <f t="shared" ca="1" si="2"/>
        <v>10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44">
        <f ca="1"/>
        <v>45713</v>
      </c>
      <c r="AL40" s="990" vm="141">
        <f ca="1"/>
        <v>302.8</v>
      </c>
      <c r="AP40" s="990" vm="145">
        <f ca="1"/>
        <v>290.8</v>
      </c>
    </row>
    <row r="41" spans="2:42" x14ac:dyDescent="0.3">
      <c r="B41" s="990" vm="146">
        <f ca="1"/>
        <v>45860</v>
      </c>
      <c r="C41" s="990" vm="147">
        <f ca="1"/>
        <v>332.11</v>
      </c>
      <c r="D41" s="998">
        <f t="shared" ca="1" si="0"/>
        <v>1.10201223781546E-2</v>
      </c>
      <c r="E41" s="990" cm="1">
        <f t="array" aca="1" ref="E41" ca="1">_xlfn.IFS(AND(D42&gt;=0,D41&gt;=0),22,AND(D42&gt;0,D41&lt;=0),21,  AND(D42&lt;0,D41&gt;0),12,AND(D42&lt;=0,D41&lt;=0),11)</f>
        <v>12</v>
      </c>
      <c r="F41" s="990">
        <f t="shared" ca="1" si="3"/>
        <v>2112</v>
      </c>
      <c r="G41" s="990">
        <f t="shared" ca="1" si="4"/>
        <v>122112</v>
      </c>
      <c r="H41" s="990" t="str" cm="1">
        <f t="array" aca="1" ref="H41" ca="1">_xlfn.IFS(D41&gt;0,"U",D41&lt;=0,"D",D41=0,"Z")</f>
        <v>U</v>
      </c>
      <c r="I41" s="990" t="str">
        <f t="shared" ca="1" si="5"/>
        <v>DU</v>
      </c>
      <c r="J41" s="990" t="str">
        <f t="shared" ca="1" si="6"/>
        <v>UDU</v>
      </c>
      <c r="K41" s="1002"/>
      <c r="L41" s="1005">
        <f ca="1">COUNTIF($J5:$J145,L42)</f>
        <v>18</v>
      </c>
      <c r="M41" s="1006">
        <f t="shared" ref="M41:S41" ca="1" si="14">COUNTIF($J5:$J145,M42)</f>
        <v>18</v>
      </c>
      <c r="N41" s="1006">
        <f t="shared" ca="1" si="14"/>
        <v>19</v>
      </c>
      <c r="O41" s="1006">
        <f t="shared" ca="1" si="14"/>
        <v>16</v>
      </c>
      <c r="P41" s="1006">
        <f t="shared" ca="1" si="14"/>
        <v>18</v>
      </c>
      <c r="Q41" s="1006">
        <f t="shared" ca="1" si="14"/>
        <v>16</v>
      </c>
      <c r="R41" s="1006">
        <f t="shared" ca="1" si="14"/>
        <v>15</v>
      </c>
      <c r="S41" s="1007">
        <f t="shared" ca="1" si="14"/>
        <v>21</v>
      </c>
      <c r="T41" s="1008">
        <f ca="1">SUM(L41:S41)</f>
        <v>141</v>
      </c>
      <c r="V41" s="990">
        <f t="shared" ca="1" si="1"/>
        <v>12</v>
      </c>
      <c r="W41" s="990">
        <f t="shared" ca="1" si="2"/>
        <v>10</v>
      </c>
      <c r="Y41" s="1045" t="s">
        <v>2415</v>
      </c>
      <c r="Z41" s="1182" t="s">
        <v>2439</v>
      </c>
      <c r="AA41" s="1181" t="s">
        <v>1970</v>
      </c>
      <c r="AC41" s="1045" t="str">
        <f>Y18</f>
        <v>P(Up) [%]</v>
      </c>
      <c r="AD41" s="1182" t="s">
        <v>2439</v>
      </c>
      <c r="AE41" s="1181" t="str">
        <f>AA18</f>
        <v>%</v>
      </c>
      <c r="AK41" s="990" vm="148">
        <f ca="1"/>
        <v>45714</v>
      </c>
      <c r="AL41" s="990" vm="145">
        <f ca="1"/>
        <v>290.8</v>
      </c>
      <c r="AP41" s="990" vm="149">
        <f ca="1"/>
        <v>281.95</v>
      </c>
    </row>
    <row r="42" spans="2:42" ht="23" thickBot="1" x14ac:dyDescent="0.35">
      <c r="B42" s="990" vm="150">
        <f ca="1"/>
        <v>45859</v>
      </c>
      <c r="C42" s="990" vm="151">
        <f ca="1"/>
        <v>328.49</v>
      </c>
      <c r="D42" s="998">
        <f t="shared" ca="1" si="0"/>
        <v>-3.5188836644925474E-3</v>
      </c>
      <c r="E42" s="990" cm="1">
        <f t="array" aca="1" ref="E42" ca="1">_xlfn.IFS(AND(D43&gt;=0,D42&gt;=0),22,AND(D43&gt;0,D42&lt;=0),21,  AND(D43&lt;0,D42&gt;0),12,AND(D43&lt;=0,D42&lt;=0),11)</f>
        <v>21</v>
      </c>
      <c r="F42" s="990">
        <f t="shared" ca="1" si="3"/>
        <v>1221</v>
      </c>
      <c r="G42" s="990">
        <f t="shared" ca="1" si="4"/>
        <v>211221</v>
      </c>
      <c r="H42" s="990" t="str" cm="1">
        <f t="array" aca="1" ref="H42" ca="1">_xlfn.IFS(D42&gt;0,"U",D42&lt;=0,"D",D42=0,"Z")</f>
        <v>D</v>
      </c>
      <c r="I42" s="990" t="str">
        <f t="shared" ca="1" si="5"/>
        <v>UD</v>
      </c>
      <c r="J42" s="990" t="str">
        <f t="shared" ca="1" si="6"/>
        <v>DUD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12</v>
      </c>
      <c r="W42" s="990">
        <f t="shared" ca="1" si="2"/>
        <v>10</v>
      </c>
      <c r="Y42" s="1115">
        <f ca="1">Z39*AA36</f>
        <v>4.0818241796096146E-2</v>
      </c>
      <c r="Z42" s="1180">
        <f ca="1">COUNTIF(J5:J25,"??U")</f>
        <v>10</v>
      </c>
      <c r="AA42" s="1051">
        <f ca="1">Z42/(Z42+Z47)</f>
        <v>0.47619047619047616</v>
      </c>
      <c r="AC42" s="1115">
        <f ca="1">Y19</f>
        <v>4.2097365135706243E-2</v>
      </c>
      <c r="AD42" s="1180">
        <f ca="1">Z19</f>
        <v>74</v>
      </c>
      <c r="AE42" s="1051">
        <f ca="1">AD42/(AD42+AD47)</f>
        <v>0.49006622516556292</v>
      </c>
      <c r="AK42" s="990" vm="152">
        <f ca="1"/>
        <v>45715</v>
      </c>
      <c r="AL42" s="990" vm="149">
        <f ca="1"/>
        <v>281.95</v>
      </c>
      <c r="AP42" s="990" vm="153">
        <f ca="1"/>
        <v>292.98</v>
      </c>
    </row>
    <row r="43" spans="2:42" ht="23" thickBot="1" x14ac:dyDescent="0.35">
      <c r="B43" s="990" vm="154">
        <f ca="1"/>
        <v>45856</v>
      </c>
      <c r="C43" s="990" vm="95">
        <f ca="1"/>
        <v>329.65</v>
      </c>
      <c r="D43" s="998">
        <f t="shared" ca="1" si="0"/>
        <v>3.2059108982185752E-2</v>
      </c>
      <c r="E43" s="990" cm="1">
        <f t="array" aca="1" ref="E43" ca="1">_xlfn.IFS(AND(D44&gt;=0,D43&gt;=0),22,AND(D44&gt;0,D43&lt;=0),21,  AND(D44&lt;0,D43&gt;0),12,AND(D44&lt;=0,D43&lt;=0),11)</f>
        <v>12</v>
      </c>
      <c r="F43" s="990">
        <f t="shared" ca="1" si="3"/>
        <v>2112</v>
      </c>
      <c r="G43" s="990">
        <f t="shared" ca="1" si="4"/>
        <v>122112</v>
      </c>
      <c r="H43" s="990" t="str" cm="1">
        <f t="array" aca="1" ref="H43" ca="1">_xlfn.IFS(D43&gt;0,"U",D43&lt;=0,"D",D43=0,"Z")</f>
        <v>U</v>
      </c>
      <c r="I43" s="990" t="str">
        <f t="shared" ca="1" si="5"/>
        <v>DU</v>
      </c>
      <c r="J43" s="990" t="str">
        <f t="shared" ca="1" si="6"/>
        <v>UDU</v>
      </c>
      <c r="K43" s="1002" t="s">
        <v>11</v>
      </c>
      <c r="L43" s="994" cm="1">
        <f t="array" aca="1" ref="L43" ca="1">SUM( --( ($J$6:$J$145=$K43) * ($J$5:$J$144=L$42) ) )</f>
        <v>9</v>
      </c>
      <c r="M43" s="994" cm="1">
        <f t="array" aca="1" ref="M43" ca="1">SUM( --( ($J$6:$J$145=$K43) * ($J$5:$J$144=M$42) ) )</f>
        <v>9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18</v>
      </c>
      <c r="V43" s="990">
        <f t="shared" ca="1" si="1"/>
        <v>12</v>
      </c>
      <c r="W43" s="990">
        <f t="shared" ca="1" si="2"/>
        <v>10</v>
      </c>
      <c r="AK43" s="990" vm="155">
        <f ca="1"/>
        <v>45716</v>
      </c>
      <c r="AL43" s="990" vm="153">
        <f ca="1"/>
        <v>292.98</v>
      </c>
      <c r="AP43" s="990" vm="156">
        <f ca="1"/>
        <v>284.64999999999998</v>
      </c>
    </row>
    <row r="44" spans="2:42" ht="23" thickBot="1" x14ac:dyDescent="0.35">
      <c r="B44" s="990" vm="157">
        <f ca="1"/>
        <v>45855</v>
      </c>
      <c r="C44" s="990" vm="158">
        <f ca="1"/>
        <v>319.41000000000003</v>
      </c>
      <c r="D44" s="998">
        <f t="shared" ca="1" si="0"/>
        <v>-7.025833929182052E-3</v>
      </c>
      <c r="E44" s="990" cm="1">
        <f t="array" aca="1" ref="E44" ca="1">_xlfn.IFS(AND(D45&gt;=0,D44&gt;=0),22,AND(D45&gt;0,D44&lt;=0),21,  AND(D45&lt;0,D44&gt;0),12,AND(D45&lt;=0,D44&lt;=0),11)</f>
        <v>21</v>
      </c>
      <c r="F44" s="990">
        <f t="shared" ca="1" si="3"/>
        <v>1221</v>
      </c>
      <c r="G44" s="990">
        <f t="shared" ca="1" si="4"/>
        <v>211221</v>
      </c>
      <c r="H44" s="990" t="str" cm="1">
        <f t="array" aca="1" ref="H44" ca="1">_xlfn.IFS(D44&gt;0,"U",D44&lt;=0,"D",D44=0,"Z")</f>
        <v>D</v>
      </c>
      <c r="I44" s="990" t="str">
        <f t="shared" ca="1" si="5"/>
        <v>UD</v>
      </c>
      <c r="J44" s="990" t="str">
        <f t="shared" ca="1" si="6"/>
        <v>DUD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9</v>
      </c>
      <c r="O44" s="994" cm="1">
        <f t="array" aca="1" ref="O44" ca="1">SUM( --( ($J$6:$J$145=$K44) * ($J$5:$J$144=O$42) ) )</f>
        <v>9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18</v>
      </c>
      <c r="V44" s="990">
        <f t="shared" ca="1" si="1"/>
        <v>12</v>
      </c>
      <c r="W44" s="990">
        <f t="shared" ca="1" si="2"/>
        <v>10</v>
      </c>
      <c r="Y44" s="1044" t="str">
        <f>Z20</f>
        <v>Stationary P(D)</v>
      </c>
      <c r="Z44" s="1031" cm="1">
        <f t="array" aca="1" ref="Z44" ca="1">_xlfn.XLOOKUP(Y37&amp;"D",Y29:AF29,_xlfn.ANCHORARRAY(Y30))</f>
        <v>0.14284964629500135</v>
      </c>
      <c r="AC44" s="1044" t="str">
        <f>Z20</f>
        <v>Stationary P(D)</v>
      </c>
      <c r="AD44" s="1031">
        <f ca="1">AA20</f>
        <v>0.11264080100125157</v>
      </c>
      <c r="AK44" s="990" vm="159">
        <f ca="1"/>
        <v>45719</v>
      </c>
      <c r="AL44" s="990" vm="156">
        <f ca="1"/>
        <v>284.64999999999998</v>
      </c>
      <c r="AP44" s="990" vm="160">
        <f ca="1"/>
        <v>272.04000000000002</v>
      </c>
    </row>
    <row r="45" spans="2:42" ht="23" thickBot="1" x14ac:dyDescent="0.35">
      <c r="B45" s="990" vm="161">
        <f ca="1"/>
        <v>45854</v>
      </c>
      <c r="C45" s="990" vm="162">
        <f ca="1"/>
        <v>321.67</v>
      </c>
      <c r="D45" s="998">
        <f t="shared" ca="1" si="0"/>
        <v>3.5040864920522698E-2</v>
      </c>
      <c r="E45" s="990" cm="1">
        <f t="array" aca="1" ref="E45" ca="1">_xlfn.IFS(AND(D46&gt;=0,D45&gt;=0),22,AND(D46&gt;0,D45&lt;=0),21,  AND(D46&lt;0,D45&gt;0),12,AND(D46&lt;=0,D45&lt;=0),11)</f>
        <v>12</v>
      </c>
      <c r="F45" s="990">
        <f t="shared" ca="1" si="3"/>
        <v>2112</v>
      </c>
      <c r="G45" s="990">
        <f t="shared" ca="1" si="4"/>
        <v>122122</v>
      </c>
      <c r="H45" s="990" t="str" cm="1">
        <f t="array" aca="1" ref="H45" ca="1">_xlfn.IFS(D45&gt;0,"U",D45&lt;=0,"D",D45=0,"Z")</f>
        <v>U</v>
      </c>
      <c r="I45" s="990" t="str">
        <f t="shared" ca="1" si="5"/>
        <v>DU</v>
      </c>
      <c r="J45" s="990" t="str">
        <f t="shared" ca="1" si="6"/>
        <v>UDU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11</v>
      </c>
      <c r="Q45" s="994" cm="1">
        <f t="array" aca="1" ref="Q45" ca="1">SUM( --( ($J$6:$J$145=$K45) * ($J$5:$J$144=Q$42) ) )</f>
        <v>8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19</v>
      </c>
      <c r="V45" s="990">
        <f t="shared" ca="1" si="1"/>
        <v>11</v>
      </c>
      <c r="W45" s="990">
        <f t="shared" ca="1" si="2"/>
        <v>11</v>
      </c>
      <c r="Y45" s="1029" t="str">
        <f ca="1">Last2Days&amp;" ==&gt; Dn"</f>
        <v>UU ==&gt; Dn</v>
      </c>
      <c r="AC45" s="1029" t="str">
        <f ca="1">Y45</f>
        <v>UU ==&gt; Dn</v>
      </c>
      <c r="AK45" s="990" vm="163">
        <f ca="1"/>
        <v>45720</v>
      </c>
      <c r="AL45" s="990" vm="160">
        <f ca="1"/>
        <v>272.04000000000002</v>
      </c>
      <c r="AP45" s="990" vm="164">
        <f ca="1"/>
        <v>279.10000000000002</v>
      </c>
    </row>
    <row r="46" spans="2:42" x14ac:dyDescent="0.3">
      <c r="B46" s="990" vm="165">
        <f ca="1"/>
        <v>45853</v>
      </c>
      <c r="C46" s="990" vm="166">
        <f ca="1"/>
        <v>310.77999999999997</v>
      </c>
      <c r="D46" s="998">
        <f t="shared" ca="1" si="0"/>
        <v>-1.93120858314926E-2</v>
      </c>
      <c r="E46" s="990" cm="1">
        <f t="array" aca="1" ref="E46" ca="1">_xlfn.IFS(AND(D47&gt;=0,D46&gt;=0),22,AND(D47&gt;0,D46&lt;=0),21,  AND(D47&lt;0,D46&gt;0),12,AND(D47&lt;=0,D46&lt;=0),11)</f>
        <v>21</v>
      </c>
      <c r="F46" s="990">
        <f t="shared" ca="1" si="3"/>
        <v>2221</v>
      </c>
      <c r="G46" s="990">
        <f t="shared" ca="1" si="4"/>
        <v>212222</v>
      </c>
      <c r="H46" s="990" t="str" cm="1">
        <f t="array" aca="1" ref="H46" ca="1">_xlfn.IFS(D46&gt;0,"U",D46&lt;=0,"D",D46=0,"Z")</f>
        <v>D</v>
      </c>
      <c r="I46" s="990" t="str">
        <f t="shared" ca="1" si="5"/>
        <v>UD</v>
      </c>
      <c r="J46" s="990" t="str">
        <f t="shared" ca="1" si="6"/>
        <v>UUD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6</v>
      </c>
      <c r="S46" s="994" cm="1">
        <f t="array" aca="1" ref="S46" ca="1">SUM( --( ($J$6:$J$145=$K46) * ($J$5:$J$144=S$42) ) )</f>
        <v>10</v>
      </c>
      <c r="T46" s="994">
        <f t="shared" ca="1" si="15"/>
        <v>16</v>
      </c>
      <c r="V46" s="990">
        <f t="shared" ca="1" si="1"/>
        <v>12</v>
      </c>
      <c r="W46" s="990">
        <f t="shared" ca="1" si="2"/>
        <v>10</v>
      </c>
      <c r="Y46" s="1045" t="s">
        <v>2417</v>
      </c>
      <c r="Z46" s="1182" t="s">
        <v>2418</v>
      </c>
      <c r="AA46" s="1181" t="s">
        <v>1970</v>
      </c>
      <c r="AC46" s="1045" t="str">
        <f>Y21</f>
        <v>P(Down)[%]</v>
      </c>
      <c r="AD46" s="1182" t="s">
        <v>2418</v>
      </c>
      <c r="AE46" s="1181" t="s">
        <v>1970</v>
      </c>
      <c r="AK46" s="990" vm="167">
        <f ca="1"/>
        <v>45721</v>
      </c>
      <c r="AL46" s="990" vm="164">
        <f ca="1"/>
        <v>279.10000000000002</v>
      </c>
      <c r="AP46" s="990" vm="168">
        <f ca="1"/>
        <v>263.45</v>
      </c>
    </row>
    <row r="47" spans="2:42" ht="23" thickBot="1" x14ac:dyDescent="0.35">
      <c r="B47" s="990" vm="169">
        <f ca="1"/>
        <v>45852</v>
      </c>
      <c r="C47" s="990" vm="170">
        <f ca="1"/>
        <v>316.89999999999998</v>
      </c>
      <c r="D47" s="998">
        <f t="shared" ca="1" si="0"/>
        <v>1.08130522152403E-2</v>
      </c>
      <c r="E47" s="990" cm="1">
        <f t="array" aca="1" ref="E47" ca="1">_xlfn.IFS(AND(D48&gt;=0,D47&gt;=0),22,AND(D48&gt;0,D47&lt;=0),21,  AND(D48&lt;0,D47&gt;0),12,AND(D48&lt;=0,D47&lt;=0),11)</f>
        <v>22</v>
      </c>
      <c r="F47" s="990">
        <f t="shared" ca="1" si="3"/>
        <v>2222</v>
      </c>
      <c r="G47" s="990">
        <f t="shared" ca="1" si="4"/>
        <v>222212</v>
      </c>
      <c r="H47" s="990" t="str" cm="1">
        <f t="array" aca="1" ref="H47" ca="1">_xlfn.IFS(D47&gt;0,"U",D47&lt;=0,"D",D47=0,"Z")</f>
        <v>U</v>
      </c>
      <c r="I47" s="990" t="str">
        <f t="shared" ca="1" si="5"/>
        <v>UU</v>
      </c>
      <c r="J47" s="990" t="str">
        <f t="shared" ca="1" si="6"/>
        <v>UUU</v>
      </c>
      <c r="K47" s="1002" t="s">
        <v>2406</v>
      </c>
      <c r="L47" s="994" cm="1">
        <f t="array" aca="1" ref="L47" ca="1">SUM( --( ($J$6:$J$145=$K47) * ($J$5:$J$144=L$42) ) )</f>
        <v>9</v>
      </c>
      <c r="M47" s="994" cm="1">
        <f t="array" aca="1" ref="M47" ca="1">SUM( --( ($J$6:$J$145=$K47) * ($J$5:$J$144=M$42) ) )</f>
        <v>9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18</v>
      </c>
      <c r="V47" s="990">
        <f t="shared" ca="1" si="1"/>
        <v>11</v>
      </c>
      <c r="W47" s="990">
        <f t="shared" ca="1" si="2"/>
        <v>11</v>
      </c>
      <c r="Y47" s="1115">
        <f ca="1">Z44*AA36</f>
        <v>4.0814109124435297E-2</v>
      </c>
      <c r="Z47" s="1180">
        <f ca="1">COUNTIF(J5:J25,"??D")</f>
        <v>11</v>
      </c>
      <c r="AA47" s="1051">
        <f ca="1">Z47/(Z42+Z47)</f>
        <v>0.52380952380952384</v>
      </c>
      <c r="AC47" s="1115">
        <f ca="1">Y22</f>
        <v>3.0310102897708496E-2</v>
      </c>
      <c r="AD47" s="1180">
        <f ca="1">Z22</f>
        <v>77</v>
      </c>
      <c r="AE47" s="1051">
        <f ca="1">AD47/(AD42+AD47)</f>
        <v>0.50993377483443714</v>
      </c>
      <c r="AK47" s="990" vm="171">
        <f ca="1"/>
        <v>45722</v>
      </c>
      <c r="AL47" s="990" vm="168">
        <f ca="1"/>
        <v>263.45</v>
      </c>
      <c r="AP47" s="990" vm="172">
        <f ca="1"/>
        <v>262.67</v>
      </c>
    </row>
    <row r="48" spans="2:42" x14ac:dyDescent="0.3">
      <c r="B48" s="990" vm="173">
        <f ca="1"/>
        <v>45849</v>
      </c>
      <c r="C48" s="990" vm="174">
        <f ca="1"/>
        <v>313.51</v>
      </c>
      <c r="D48" s="998">
        <f t="shared" ca="1" si="0"/>
        <v>1.1746861587117133E-2</v>
      </c>
      <c r="E48" s="990" cm="1">
        <f t="array" aca="1" ref="E48" ca="1">_xlfn.IFS(AND(D49&gt;=0,D48&gt;=0),22,AND(D49&gt;0,D48&lt;=0),21,  AND(D49&lt;0,D48&gt;0),12,AND(D49&lt;=0,D48&lt;=0),11)</f>
        <v>22</v>
      </c>
      <c r="F48" s="990">
        <f t="shared" ca="1" si="3"/>
        <v>1222</v>
      </c>
      <c r="G48" s="990">
        <f t="shared" ca="1" si="4"/>
        <v>221221</v>
      </c>
      <c r="H48" s="990" t="str" cm="1">
        <f t="array" aca="1" ref="H48" ca="1">_xlfn.IFS(D48&gt;0,"U",D48&lt;=0,"D",D48=0,"Z")</f>
        <v>U</v>
      </c>
      <c r="I48" s="990" t="str">
        <f t="shared" ca="1" si="5"/>
        <v>UU</v>
      </c>
      <c r="J48" s="990" t="str">
        <f t="shared" ca="1" si="6"/>
        <v>DUU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9</v>
      </c>
      <c r="O48" s="994" cm="1">
        <f t="array" aca="1" ref="O48" ca="1">SUM( --( ($J$6:$J$145=$K48) * ($J$5:$J$144=O$42) ) )</f>
        <v>7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16</v>
      </c>
      <c r="V48" s="990">
        <f t="shared" ca="1" si="1"/>
        <v>11</v>
      </c>
      <c r="W48" s="990">
        <f t="shared" ca="1" si="2"/>
        <v>11</v>
      </c>
      <c r="AK48" s="990" vm="175">
        <f ca="1"/>
        <v>45723</v>
      </c>
      <c r="AL48" s="990" vm="172">
        <f ca="1"/>
        <v>262.67</v>
      </c>
      <c r="AP48" s="990" vm="176">
        <f ca="1"/>
        <v>222.15</v>
      </c>
    </row>
    <row r="49" spans="2:42" x14ac:dyDescent="0.3">
      <c r="B49" s="990" vm="177">
        <f ca="1"/>
        <v>45848</v>
      </c>
      <c r="C49" s="990" vm="178">
        <f ca="1"/>
        <v>309.87</v>
      </c>
      <c r="D49" s="998">
        <f t="shared" ca="1" si="0"/>
        <v>4.7282682168446701E-2</v>
      </c>
      <c r="E49" s="990" cm="1">
        <f t="array" aca="1" ref="E49" ca="1">_xlfn.IFS(AND(D50&gt;=0,D49&gt;=0),22,AND(D50&gt;0,D49&lt;=0),21,  AND(D50&lt;0,D49&gt;0),12,AND(D50&lt;=0,D49&lt;=0),11)</f>
        <v>12</v>
      </c>
      <c r="F49" s="990">
        <f t="shared" ca="1" si="3"/>
        <v>2112</v>
      </c>
      <c r="G49" s="990">
        <f t="shared" ca="1" si="4"/>
        <v>122112</v>
      </c>
      <c r="H49" s="990" t="str" cm="1">
        <f t="array" aca="1" ref="H49" ca="1">_xlfn.IFS(D49&gt;0,"U",D49&lt;=0,"D",D49=0,"Z")</f>
        <v>U</v>
      </c>
      <c r="I49" s="990" t="str">
        <f t="shared" ca="1" si="5"/>
        <v>DU</v>
      </c>
      <c r="J49" s="990" t="str">
        <f t="shared" ca="1" si="6"/>
        <v>UDU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7</v>
      </c>
      <c r="Q49" s="994" cm="1">
        <f t="array" aca="1" ref="Q49" ca="1">SUM( --( ($J$6:$J$145=$K49) * ($J$5:$J$144=Q$42) ) )</f>
        <v>8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15</v>
      </c>
      <c r="V49" s="990" t="s">
        <v>2410</v>
      </c>
      <c r="W49" s="990">
        <f t="shared" ca="1" si="2"/>
        <v>11</v>
      </c>
      <c r="AK49" s="990" vm="179">
        <f ca="1"/>
        <v>45726</v>
      </c>
      <c r="AL49" s="990" vm="176">
        <f ca="1"/>
        <v>222.15</v>
      </c>
      <c r="AP49" s="990" vm="180">
        <f ca="1"/>
        <v>230.58</v>
      </c>
    </row>
    <row r="50" spans="2:42" ht="23" customHeight="1" x14ac:dyDescent="0.3">
      <c r="B50" s="990" vm="181">
        <f ca="1"/>
        <v>45847</v>
      </c>
      <c r="C50" s="990" vm="182">
        <f ca="1"/>
        <v>295.88</v>
      </c>
      <c r="D50" s="998">
        <f t="shared" ca="1" si="0"/>
        <v>-6.4806420200799394E-3</v>
      </c>
      <c r="E50" s="990" cm="1">
        <f t="array" aca="1" ref="E50" ca="1">_xlfn.IFS(AND(D51&gt;=0,D50&gt;=0),22,AND(D51&gt;0,D50&lt;=0),21,  AND(D51&lt;0,D50&gt;0),12,AND(D51&lt;=0,D50&lt;=0),11)</f>
        <v>21</v>
      </c>
      <c r="F50" s="990">
        <f t="shared" ca="1" si="3"/>
        <v>1221</v>
      </c>
      <c r="G50" s="990">
        <f t="shared" ca="1" si="4"/>
        <v>211211</v>
      </c>
      <c r="H50" s="990" t="str" cm="1">
        <f t="array" aca="1" ref="H50" ca="1">_xlfn.IFS(D50&gt;0,"U",D50&lt;=0,"D",D50=0,"Z")</f>
        <v>D</v>
      </c>
      <c r="I50" s="990" t="str">
        <f t="shared" ca="1" si="5"/>
        <v>UD</v>
      </c>
      <c r="J50" s="990" t="str">
        <f t="shared" ca="1" si="6"/>
        <v>DUD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9</v>
      </c>
      <c r="S50" s="994" cm="1">
        <f t="array" aca="1" ref="S50" ca="1">SUM( --( ($J$6:$J$145=$K50) * ($J$5:$J$144=S$42) ) )</f>
        <v>11</v>
      </c>
      <c r="T50" s="994">
        <f t="shared" ca="1" si="15"/>
        <v>20</v>
      </c>
      <c r="V50" s="990">
        <f t="shared" ref="V50:V113" ca="1" si="16">COUNTIF(D50:D71,"&lt;0")</f>
        <v>11</v>
      </c>
      <c r="W50" s="990">
        <f t="shared" ca="1" si="2"/>
        <v>11</v>
      </c>
      <c r="AK50" s="990" vm="183">
        <f ca="1"/>
        <v>45727</v>
      </c>
      <c r="AL50" s="990" vm="180">
        <f ca="1"/>
        <v>230.58</v>
      </c>
      <c r="AP50" s="990" vm="184">
        <f ca="1"/>
        <v>248.09</v>
      </c>
    </row>
    <row r="51" spans="2:42" ht="22" customHeight="1" x14ac:dyDescent="0.3">
      <c r="B51" s="990" vm="185">
        <f ca="1"/>
        <v>45846</v>
      </c>
      <c r="C51" s="990" vm="186">
        <f ca="1"/>
        <v>297.81</v>
      </c>
      <c r="D51" s="998">
        <f t="shared" ca="1" si="0"/>
        <v>1.3165952235150047E-2</v>
      </c>
      <c r="E51" s="990" cm="1">
        <f t="array" aca="1" ref="E51" ca="1">_xlfn.IFS(AND(D52&gt;=0,D51&gt;=0),22,AND(D52&gt;0,D51&lt;=0),21,  AND(D52&lt;0,D51&gt;0),12,AND(D52&lt;=0,D51&lt;=0),11)</f>
        <v>12</v>
      </c>
      <c r="F51" s="990">
        <f t="shared" ca="1" si="3"/>
        <v>1112</v>
      </c>
      <c r="G51" s="990">
        <f t="shared" ca="1" si="4"/>
        <v>121121</v>
      </c>
      <c r="H51" s="990" t="str" cm="1">
        <f t="array" aca="1" ref="H51" ca="1">_xlfn.IFS(D51&gt;0,"U",D51&lt;=0,"D",D51=0,"Z")</f>
        <v>U</v>
      </c>
      <c r="I51" s="990" t="str">
        <f t="shared" ca="1" si="5"/>
        <v>DU</v>
      </c>
      <c r="J51" s="990" t="str">
        <f t="shared" ca="1" si="6"/>
        <v>DDU</v>
      </c>
      <c r="V51" s="990">
        <f t="shared" ca="1" si="16"/>
        <v>11</v>
      </c>
      <c r="W51" s="990">
        <f t="shared" ca="1" si="2"/>
        <v>11</v>
      </c>
      <c r="AK51" s="990" vm="187">
        <f ca="1"/>
        <v>45728</v>
      </c>
      <c r="AL51" s="990" vm="184">
        <f ca="1"/>
        <v>248.09</v>
      </c>
      <c r="AP51" s="990" vm="188">
        <f ca="1"/>
        <v>240.68</v>
      </c>
    </row>
    <row r="52" spans="2:42" ht="23" customHeight="1" x14ac:dyDescent="0.3">
      <c r="B52" s="990" vm="189">
        <f ca="1"/>
        <v>45845</v>
      </c>
      <c r="C52" s="990" vm="190">
        <f ca="1"/>
        <v>293.94</v>
      </c>
      <c r="D52" s="998">
        <f t="shared" ca="1" si="0"/>
        <v>-6.7892817504360312E-2</v>
      </c>
      <c r="E52" s="990" cm="1">
        <f t="array" aca="1" ref="E52" ca="1">_xlfn.IFS(AND(D53&gt;=0,D52&gt;=0),22,AND(D53&gt;0,D52&lt;=0),21,  AND(D53&lt;0,D52&gt;0),12,AND(D53&lt;=0,D52&lt;=0),11)</f>
        <v>11</v>
      </c>
      <c r="F52" s="990">
        <f t="shared" ca="1" si="3"/>
        <v>2111</v>
      </c>
      <c r="G52" s="990">
        <f t="shared" ca="1" si="4"/>
        <v>112112</v>
      </c>
      <c r="H52" s="990" t="str" cm="1">
        <f t="array" aca="1" ref="H52" ca="1">_xlfn.IFS(D52&gt;0,"U",D52&lt;=0,"D",D52=0,"Z")</f>
        <v>D</v>
      </c>
      <c r="I52" s="990" t="str">
        <f t="shared" ca="1" si="5"/>
        <v>DD</v>
      </c>
      <c r="J52" s="990" t="str">
        <f t="shared" ca="1" si="6"/>
        <v>UDD</v>
      </c>
      <c r="V52" s="990">
        <f t="shared" ca="1" si="16"/>
        <v>12</v>
      </c>
      <c r="W52" s="990">
        <f t="shared" ca="1" si="2"/>
        <v>10</v>
      </c>
      <c r="AK52" s="990" vm="191">
        <f ca="1"/>
        <v>45729</v>
      </c>
      <c r="AL52" s="990" vm="188">
        <f ca="1"/>
        <v>240.68</v>
      </c>
      <c r="AP52" s="990" vm="192">
        <f ca="1"/>
        <v>249.98</v>
      </c>
    </row>
    <row r="53" spans="2:42" x14ac:dyDescent="0.3">
      <c r="B53" s="990" vm="193">
        <f ca="1"/>
        <v>45841</v>
      </c>
      <c r="C53" s="990" vm="194">
        <f ca="1"/>
        <v>315.35000000000002</v>
      </c>
      <c r="D53" s="998">
        <f t="shared" ca="1" si="0"/>
        <v>-9.504197687310456E-4</v>
      </c>
      <c r="E53" s="990" cm="1">
        <f t="array" aca="1" ref="E53" ca="1">_xlfn.IFS(AND(D54&gt;=0,D53&gt;=0),22,AND(D54&gt;0,D53&lt;=0),21,  AND(D54&lt;0,D53&gt;0),12,AND(D54&lt;=0,D53&lt;=0),11)</f>
        <v>21</v>
      </c>
      <c r="F53" s="990">
        <f t="shared" ca="1" si="3"/>
        <v>1221</v>
      </c>
      <c r="G53" s="990">
        <f t="shared" ca="1" si="4"/>
        <v>211211</v>
      </c>
      <c r="H53" s="990" t="str" cm="1">
        <f t="array" aca="1" ref="H53" ca="1">_xlfn.IFS(D53&gt;0,"U",D53&lt;=0,"D",D53=0,"Z")</f>
        <v>D</v>
      </c>
      <c r="I53" s="990" t="str">
        <f t="shared" ca="1" si="5"/>
        <v>UD</v>
      </c>
      <c r="J53" s="990" t="str">
        <f t="shared" ca="1" si="6"/>
        <v>DUD</v>
      </c>
      <c r="V53" s="990">
        <f t="shared" ca="1" si="16"/>
        <v>11</v>
      </c>
      <c r="W53" s="990">
        <f t="shared" ca="1" si="2"/>
        <v>11</v>
      </c>
      <c r="AK53" s="990" vm="195">
        <f ca="1"/>
        <v>45730</v>
      </c>
      <c r="AL53" s="990" vm="192">
        <f ca="1"/>
        <v>249.98</v>
      </c>
      <c r="AP53" s="990" vm="196">
        <f ca="1"/>
        <v>238.01</v>
      </c>
    </row>
    <row r="54" spans="2:42" ht="23" thickBot="1" x14ac:dyDescent="0.35">
      <c r="B54" s="990" vm="197">
        <f ca="1"/>
        <v>45840</v>
      </c>
      <c r="C54" s="990" vm="198">
        <f ca="1"/>
        <v>315.64999999999998</v>
      </c>
      <c r="D54" s="998">
        <f t="shared" ca="1" si="0"/>
        <v>4.9682418276745036E-2</v>
      </c>
      <c r="E54" s="990" cm="1">
        <f t="array" aca="1" ref="E54" ca="1">_xlfn.IFS(AND(D55&gt;=0,D54&gt;=0),22,AND(D55&gt;0,D54&lt;=0),21,  AND(D55&lt;0,D54&gt;0),12,AND(D55&lt;=0,D54&lt;=0),11)</f>
        <v>12</v>
      </c>
      <c r="F54" s="990">
        <f t="shared" ca="1" si="3"/>
        <v>1112</v>
      </c>
      <c r="G54" s="990">
        <f t="shared" ca="1" si="4"/>
        <v>121111</v>
      </c>
      <c r="H54" s="990" t="str" cm="1">
        <f t="array" aca="1" ref="H54" ca="1">_xlfn.IFS(D54&gt;0,"U",D54&lt;=0,"D",D54=0,"Z")</f>
        <v>U</v>
      </c>
      <c r="I54" s="990" t="str">
        <f t="shared" ca="1" si="5"/>
        <v>DU</v>
      </c>
      <c r="J54" s="990" t="str">
        <f t="shared" ca="1" si="6"/>
        <v>DDU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11</v>
      </c>
      <c r="W54" s="990">
        <f t="shared" ca="1" si="2"/>
        <v>11</v>
      </c>
      <c r="AK54" s="990" vm="199">
        <f ca="1"/>
        <v>45733</v>
      </c>
      <c r="AL54" s="990" vm="196">
        <f ca="1"/>
        <v>238.01</v>
      </c>
      <c r="AP54" s="990" vm="200">
        <f ca="1"/>
        <v>225.31</v>
      </c>
    </row>
    <row r="55" spans="2:42" x14ac:dyDescent="0.3">
      <c r="B55" s="990" vm="201">
        <f ca="1"/>
        <v>45839</v>
      </c>
      <c r="C55" s="990" vm="202">
        <f ca="1"/>
        <v>300.70999999999998</v>
      </c>
      <c r="D55" s="998">
        <f t="shared" ca="1" si="0"/>
        <v>-5.3358937228483422E-2</v>
      </c>
      <c r="E55" s="990" cm="1">
        <f t="array" aca="1" ref="E55" ca="1">_xlfn.IFS(AND(D56&gt;=0,D55&gt;=0),22,AND(D56&gt;0,D55&lt;=0),21,  AND(D56&lt;0,D55&gt;0),12,AND(D56&lt;=0,D55&lt;=0),11)</f>
        <v>11</v>
      </c>
      <c r="F55" s="990">
        <f t="shared" ca="1" si="3"/>
        <v>1111</v>
      </c>
      <c r="G55" s="990">
        <f t="shared" ca="1" si="4"/>
        <v>111111</v>
      </c>
      <c r="H55" s="990" t="str" cm="1">
        <f t="array" aca="1" ref="H55" ca="1">_xlfn.IFS(D55&gt;0,"U",D55&lt;=0,"D",D55=0,"Z")</f>
        <v>D</v>
      </c>
      <c r="I55" s="990" t="str">
        <f t="shared" ca="1" si="5"/>
        <v>DD</v>
      </c>
      <c r="J55" s="990" t="str">
        <f t="shared" ca="1" si="6"/>
        <v>DDD</v>
      </c>
      <c r="K55" s="1002" t="s">
        <v>11</v>
      </c>
      <c r="L55" s="999">
        <f ca="1">L43/$T55</f>
        <v>0.5</v>
      </c>
      <c r="M55" s="999">
        <f t="shared" ref="M55:S55" ca="1" si="17">M43/$T55</f>
        <v>0.5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18</v>
      </c>
      <c r="V55" s="990">
        <f t="shared" ca="1" si="16"/>
        <v>12</v>
      </c>
      <c r="W55" s="990">
        <f t="shared" ca="1" si="2"/>
        <v>10</v>
      </c>
      <c r="AK55" s="990" vm="203">
        <f ca="1"/>
        <v>45734</v>
      </c>
      <c r="AL55" s="990" vm="200">
        <f ca="1"/>
        <v>225.31</v>
      </c>
      <c r="AP55" s="990" vm="204">
        <f ca="1"/>
        <v>235.86</v>
      </c>
    </row>
    <row r="56" spans="2:42" x14ac:dyDescent="0.3">
      <c r="B56" s="990" vm="205">
        <f ca="1"/>
        <v>45838</v>
      </c>
      <c r="C56" s="990" vm="206">
        <f ca="1"/>
        <v>317.66000000000003</v>
      </c>
      <c r="D56" s="998">
        <f t="shared" ca="1" si="0"/>
        <v>-1.8446991935234591E-2</v>
      </c>
      <c r="E56" s="990" cm="1">
        <f t="array" aca="1" ref="E56" ca="1">_xlfn.IFS(AND(D57&gt;=0,D56&gt;=0),22,AND(D57&gt;0,D56&lt;=0),21,  AND(D57&lt;0,D56&gt;0),12,AND(D57&lt;=0,D56&lt;=0),11)</f>
        <v>11</v>
      </c>
      <c r="F56" s="990">
        <f t="shared" ca="1" si="3"/>
        <v>1111</v>
      </c>
      <c r="G56" s="990">
        <f t="shared" ca="1" si="4"/>
        <v>111111</v>
      </c>
      <c r="H56" s="990" t="str" cm="1">
        <f t="array" aca="1" ref="H56" ca="1">_xlfn.IFS(D56&gt;0,"U",D56&lt;=0,"D",D56=0,"Z")</f>
        <v>D</v>
      </c>
      <c r="I56" s="990" t="str">
        <f t="shared" ca="1" si="5"/>
        <v>DD</v>
      </c>
      <c r="J56" s="990" t="str">
        <f t="shared" ca="1" si="6"/>
        <v>DDD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0.5</v>
      </c>
      <c r="O56" s="999">
        <f t="shared" ca="1" si="18"/>
        <v>0.5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18</v>
      </c>
      <c r="V56" s="990">
        <f t="shared" ca="1" si="16"/>
        <v>11</v>
      </c>
      <c r="W56" s="990">
        <f t="shared" ca="1" si="2"/>
        <v>11</v>
      </c>
      <c r="AK56" s="990" vm="207">
        <f ca="1"/>
        <v>45735</v>
      </c>
      <c r="AL56" s="990" vm="204">
        <f ca="1"/>
        <v>235.86</v>
      </c>
      <c r="AP56" s="990" vm="208">
        <f ca="1"/>
        <v>236.26</v>
      </c>
    </row>
    <row r="57" spans="2:42" x14ac:dyDescent="0.3">
      <c r="B57" s="990" vm="209">
        <f ca="1"/>
        <v>45835</v>
      </c>
      <c r="C57" s="990" vm="210">
        <f ca="1"/>
        <v>323.63</v>
      </c>
      <c r="D57" s="998">
        <f t="shared" ca="1" si="0"/>
        <v>-6.5995457056908877E-3</v>
      </c>
      <c r="E57" s="990" cm="1">
        <f t="array" aca="1" ref="E57" ca="1">_xlfn.IFS(AND(D58&gt;=0,D57&gt;=0),22,AND(D58&gt;0,D57&lt;=0),21,  AND(D58&lt;0,D57&gt;0),12,AND(D58&lt;=0,D57&lt;=0),11)</f>
        <v>11</v>
      </c>
      <c r="F57" s="990">
        <f t="shared" ca="1" si="3"/>
        <v>1111</v>
      </c>
      <c r="G57" s="990">
        <f t="shared" ca="1" si="4"/>
        <v>111111</v>
      </c>
      <c r="H57" s="990" t="str" cm="1">
        <f t="array" aca="1" ref="H57" ca="1">_xlfn.IFS(D57&gt;0,"U",D57&lt;=0,"D",D57=0,"Z")</f>
        <v>D</v>
      </c>
      <c r="I57" s="990" t="str">
        <f t="shared" ca="1" si="5"/>
        <v>DD</v>
      </c>
      <c r="J57" s="990" t="str">
        <f t="shared" ca="1" si="6"/>
        <v>DDD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0.57894736842105265</v>
      </c>
      <c r="Q57" s="999">
        <f t="shared" ca="1" si="18"/>
        <v>0.42105263157894735</v>
      </c>
      <c r="R57" s="999">
        <f t="shared" ca="1" si="18"/>
        <v>0</v>
      </c>
      <c r="S57" s="999">
        <f t="shared" ca="1" si="18"/>
        <v>0</v>
      </c>
      <c r="T57" s="994">
        <f t="shared" ca="1" si="19"/>
        <v>19</v>
      </c>
      <c r="V57" s="990">
        <f t="shared" ca="1" si="16"/>
        <v>11</v>
      </c>
      <c r="W57" s="990">
        <f t="shared" ca="1" si="2"/>
        <v>11</v>
      </c>
      <c r="AK57" s="990" vm="211">
        <f ca="1"/>
        <v>45736</v>
      </c>
      <c r="AL57" s="990" vm="208">
        <f ca="1"/>
        <v>236.26</v>
      </c>
      <c r="AP57" s="990" vm="212">
        <f ca="1"/>
        <v>248.71</v>
      </c>
    </row>
    <row r="58" spans="2:42" x14ac:dyDescent="0.3">
      <c r="B58" s="990" vm="213">
        <f ca="1"/>
        <v>45834</v>
      </c>
      <c r="C58" s="990" vm="214">
        <f ca="1"/>
        <v>325.77999999999997</v>
      </c>
      <c r="D58" s="998">
        <f t="shared" ca="1" si="0"/>
        <v>-5.403755151885326E-3</v>
      </c>
      <c r="E58" s="990" cm="1">
        <f t="array" aca="1" ref="E58" ca="1">_xlfn.IFS(AND(D59&gt;=0,D58&gt;=0),22,AND(D59&gt;0,D58&lt;=0),21,  AND(D59&lt;0,D58&gt;0),12,AND(D59&lt;=0,D58&lt;=0),11)</f>
        <v>11</v>
      </c>
      <c r="F58" s="990">
        <f t="shared" ca="1" si="3"/>
        <v>1111</v>
      </c>
      <c r="G58" s="990">
        <f t="shared" ca="1" si="4"/>
        <v>111121</v>
      </c>
      <c r="H58" s="990" t="str" cm="1">
        <f t="array" aca="1" ref="H58" ca="1">_xlfn.IFS(D58&gt;0,"U",D58&lt;=0,"D",D58=0,"Z")</f>
        <v>D</v>
      </c>
      <c r="I58" s="990" t="str">
        <f t="shared" ca="1" si="5"/>
        <v>DD</v>
      </c>
      <c r="J58" s="990" t="str">
        <f t="shared" ca="1" si="6"/>
        <v>DDD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0.375</v>
      </c>
      <c r="S58" s="999">
        <f t="shared" ca="1" si="18"/>
        <v>0.625</v>
      </c>
      <c r="T58" s="994">
        <f t="shared" ca="1" si="19"/>
        <v>16</v>
      </c>
      <c r="V58" s="990">
        <f t="shared" ca="1" si="16"/>
        <v>10</v>
      </c>
      <c r="W58" s="990">
        <f t="shared" ca="1" si="2"/>
        <v>12</v>
      </c>
      <c r="AK58" s="990" vm="215">
        <f ca="1"/>
        <v>45737</v>
      </c>
      <c r="AL58" s="990" vm="212">
        <f ca="1"/>
        <v>248.71</v>
      </c>
      <c r="AP58" s="990" vm="216">
        <f ca="1"/>
        <v>278.39</v>
      </c>
    </row>
    <row r="59" spans="2:42" x14ac:dyDescent="0.3">
      <c r="B59" s="990" vm="217">
        <f ca="1"/>
        <v>45833</v>
      </c>
      <c r="C59" s="990" vm="218">
        <f ca="1"/>
        <v>327.55</v>
      </c>
      <c r="D59" s="998">
        <f t="shared" ca="1" si="0"/>
        <v>-3.7947543102182318E-2</v>
      </c>
      <c r="E59" s="990" cm="1">
        <f t="array" aca="1" ref="E59" ca="1">_xlfn.IFS(AND(D60&gt;=0,D59&gt;=0),22,AND(D60&gt;0,D59&lt;=0),21,  AND(D60&lt;0,D59&gt;0),12,AND(D60&lt;=0,D59&lt;=0),11)</f>
        <v>11</v>
      </c>
      <c r="F59" s="990">
        <f t="shared" ca="1" si="3"/>
        <v>2111</v>
      </c>
      <c r="G59" s="990">
        <f t="shared" ca="1" si="4"/>
        <v>112122</v>
      </c>
      <c r="H59" s="990" t="str" cm="1">
        <f t="array" aca="1" ref="H59" ca="1">_xlfn.IFS(D59&gt;0,"U",D59&lt;=0,"D",D59=0,"Z")</f>
        <v>D</v>
      </c>
      <c r="I59" s="990" t="str">
        <f t="shared" ca="1" si="5"/>
        <v>DD</v>
      </c>
      <c r="J59" s="990" t="str">
        <f t="shared" ca="1" si="6"/>
        <v>UDD</v>
      </c>
      <c r="K59" s="1002" t="s">
        <v>2406</v>
      </c>
      <c r="L59" s="999">
        <f t="shared" ca="1" si="18"/>
        <v>0.5</v>
      </c>
      <c r="M59" s="999">
        <f t="shared" ca="1" si="18"/>
        <v>0.5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18</v>
      </c>
      <c r="V59" s="990">
        <f t="shared" ca="1" si="16"/>
        <v>10</v>
      </c>
      <c r="W59" s="990">
        <f t="shared" ca="1" si="2"/>
        <v>12</v>
      </c>
      <c r="AK59" s="990" vm="219">
        <f ca="1"/>
        <v>45740</v>
      </c>
      <c r="AL59" s="990" vm="216">
        <f ca="1"/>
        <v>278.39</v>
      </c>
      <c r="AP59" s="990" vm="220">
        <f ca="1"/>
        <v>288.14</v>
      </c>
    </row>
    <row r="60" spans="2:42" x14ac:dyDescent="0.3">
      <c r="B60" s="990" vm="221">
        <f ca="1"/>
        <v>45832</v>
      </c>
      <c r="C60" s="990" vm="222">
        <f ca="1"/>
        <v>340.47</v>
      </c>
      <c r="D60" s="998">
        <f t="shared" ca="1" si="0"/>
        <v>-2.3545944705747331E-2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2221</v>
      </c>
      <c r="G60" s="990">
        <f t="shared" ca="1" si="4"/>
        <v>212222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UUD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0.5625</v>
      </c>
      <c r="O60" s="999">
        <f t="shared" ca="1" si="18"/>
        <v>0.4375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16</v>
      </c>
      <c r="V60" s="990">
        <f t="shared" ca="1" si="16"/>
        <v>9</v>
      </c>
      <c r="W60" s="990">
        <f t="shared" ca="1" si="2"/>
        <v>13</v>
      </c>
      <c r="AK60" s="990" vm="223">
        <f ca="1"/>
        <v>45741</v>
      </c>
      <c r="AL60" s="990" vm="220">
        <f ca="1"/>
        <v>288.14</v>
      </c>
      <c r="AP60" s="990" vm="224">
        <f ca="1"/>
        <v>272.06</v>
      </c>
    </row>
    <row r="61" spans="2:42" x14ac:dyDescent="0.3">
      <c r="B61" s="990" vm="225">
        <f ca="1"/>
        <v>45831</v>
      </c>
      <c r="C61" s="990" vm="226">
        <f ca="1"/>
        <v>348.68</v>
      </c>
      <c r="D61" s="998">
        <f t="shared" ca="1" si="0"/>
        <v>8.2319344425130309E-2</v>
      </c>
      <c r="E61" s="990" cm="1">
        <f t="array" aca="1" ref="E61" ca="1">_xlfn.IFS(AND(D62&gt;=0,D61&gt;=0),22,AND(D62&gt;0,D61&lt;=0),21,  AND(D62&lt;0,D61&gt;0),12,AND(D62&lt;=0,D61&lt;=0),11)</f>
        <v>22</v>
      </c>
      <c r="F61" s="990">
        <f t="shared" ca="1" si="3"/>
        <v>2222</v>
      </c>
      <c r="G61" s="990">
        <f t="shared" ca="1" si="4"/>
        <v>222212</v>
      </c>
      <c r="H61" s="990" t="str" cm="1">
        <f t="array" aca="1" ref="H61" ca="1">_xlfn.IFS(D61&gt;0,"U",D61&lt;=0,"D",D61=0,"Z")</f>
        <v>U</v>
      </c>
      <c r="I61" s="990" t="str">
        <f t="shared" ca="1" si="5"/>
        <v>UU</v>
      </c>
      <c r="J61" s="990" t="str">
        <f t="shared" ca="1" si="6"/>
        <v>UUU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0.46666666666666667</v>
      </c>
      <c r="Q61" s="999">
        <f t="shared" ca="1" si="18"/>
        <v>0.53333333333333333</v>
      </c>
      <c r="R61" s="999">
        <f t="shared" ca="1" si="18"/>
        <v>0</v>
      </c>
      <c r="S61" s="999">
        <f t="shared" ca="1" si="18"/>
        <v>0</v>
      </c>
      <c r="T61" s="994">
        <f t="shared" ca="1" si="19"/>
        <v>15</v>
      </c>
      <c r="V61" s="990">
        <f t="shared" ca="1" si="16"/>
        <v>9</v>
      </c>
      <c r="W61" s="990">
        <f t="shared" ca="1" si="2"/>
        <v>13</v>
      </c>
      <c r="AK61" s="990" vm="227">
        <f ca="1"/>
        <v>45742</v>
      </c>
      <c r="AL61" s="990" vm="224">
        <f ca="1"/>
        <v>272.06</v>
      </c>
      <c r="AP61" s="990" vm="228">
        <f ca="1"/>
        <v>273.13</v>
      </c>
    </row>
    <row r="62" spans="2:42" x14ac:dyDescent="0.3">
      <c r="B62" s="990" vm="229">
        <f ca="1"/>
        <v>45828</v>
      </c>
      <c r="C62" s="990" vm="230">
        <f ca="1"/>
        <v>322.16000000000003</v>
      </c>
      <c r="D62" s="998">
        <f t="shared" ca="1" si="0"/>
        <v>3.4156186927499963E-4</v>
      </c>
      <c r="E62" s="990" cm="1">
        <f t="array" aca="1" ref="E62" ca="1">_xlfn.IFS(AND(D63&gt;=0,D62&gt;=0),22,AND(D63&gt;0,D62&lt;=0),21,  AND(D63&lt;0,D62&gt;0),12,AND(D63&lt;=0,D62&lt;=0),11)</f>
        <v>22</v>
      </c>
      <c r="F62" s="990">
        <f t="shared" ca="1" si="3"/>
        <v>1222</v>
      </c>
      <c r="G62" s="990">
        <f t="shared" ca="1" si="4"/>
        <v>221221</v>
      </c>
      <c r="H62" s="990" t="str" cm="1">
        <f t="array" aca="1" ref="H62" ca="1">_xlfn.IFS(D62&gt;0,"U",D62&lt;=0,"D",D62=0,"Z")</f>
        <v>U</v>
      </c>
      <c r="I62" s="990" t="str">
        <f t="shared" ca="1" si="5"/>
        <v>UU</v>
      </c>
      <c r="J62" s="990" t="str">
        <f t="shared" ca="1" si="6"/>
        <v>DUU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0.45</v>
      </c>
      <c r="S62" s="999">
        <f t="shared" ca="1" si="18"/>
        <v>0.55000000000000004</v>
      </c>
      <c r="T62" s="994">
        <f t="shared" ca="1" si="19"/>
        <v>20</v>
      </c>
      <c r="V62" s="990">
        <f t="shared" ca="1" si="16"/>
        <v>9</v>
      </c>
      <c r="W62" s="990">
        <f t="shared" ca="1" si="2"/>
        <v>13</v>
      </c>
      <c r="AK62" s="990" vm="231">
        <f ca="1"/>
        <v>45743</v>
      </c>
      <c r="AL62" s="990" vm="228">
        <f ca="1"/>
        <v>273.13</v>
      </c>
      <c r="AP62" s="990" vm="232">
        <f ca="1"/>
        <v>263.55</v>
      </c>
    </row>
    <row r="63" spans="2:42" x14ac:dyDescent="0.3">
      <c r="B63" s="990" vm="233">
        <f ca="1"/>
        <v>45826</v>
      </c>
      <c r="C63" s="990" vm="234">
        <f ca="1"/>
        <v>322.05</v>
      </c>
      <c r="D63" s="998">
        <f t="shared" ca="1" si="0"/>
        <v>1.801801801801798E-2</v>
      </c>
      <c r="E63" s="990" cm="1">
        <f t="array" aca="1" ref="E63" ca="1">_xlfn.IFS(AND(D64&gt;=0,D63&gt;=0),22,AND(D64&gt;0,D63&lt;=0),21,  AND(D64&lt;0,D63&gt;0),12,AND(D64&lt;=0,D63&lt;=0),11)</f>
        <v>12</v>
      </c>
      <c r="F63" s="990">
        <f t="shared" ca="1" si="3"/>
        <v>2112</v>
      </c>
      <c r="G63" s="990">
        <f t="shared" ca="1" si="4"/>
        <v>122122</v>
      </c>
      <c r="H63" s="990" t="str" cm="1">
        <f t="array" aca="1" ref="H63" ca="1">_xlfn.IFS(D63&gt;0,"U",D63&lt;=0,"D",D63=0,"Z")</f>
        <v>U</v>
      </c>
      <c r="I63" s="990" t="str">
        <f t="shared" ca="1" si="5"/>
        <v>DU</v>
      </c>
      <c r="J63" s="990" t="str">
        <f t="shared" ca="1" si="6"/>
        <v>UDU</v>
      </c>
      <c r="V63" s="990">
        <f t="shared" ca="1" si="16"/>
        <v>10</v>
      </c>
      <c r="W63" s="990">
        <f t="shared" ca="1" si="2"/>
        <v>12</v>
      </c>
      <c r="AK63" s="990" vm="235">
        <f ca="1"/>
        <v>45744</v>
      </c>
      <c r="AL63" s="990" vm="232">
        <f ca="1"/>
        <v>263.55</v>
      </c>
      <c r="AP63" s="990" vm="236">
        <f ca="1"/>
        <v>259.16000000000003</v>
      </c>
    </row>
    <row r="64" spans="2:42" x14ac:dyDescent="0.3">
      <c r="B64" s="990" vm="237">
        <f ca="1"/>
        <v>45825</v>
      </c>
      <c r="C64" s="990" vm="238">
        <f ca="1"/>
        <v>316.35000000000002</v>
      </c>
      <c r="D64" s="998">
        <f t="shared" ca="1" si="0"/>
        <v>-3.8829641782882063E-2</v>
      </c>
      <c r="E64" s="990" cm="1">
        <f t="array" aca="1" ref="E64" ca="1">_xlfn.IFS(AND(D65&gt;=0,D64&gt;=0),22,AND(D65&gt;0,D64&lt;=0),21,  AND(D65&lt;0,D64&gt;0),12,AND(D65&lt;=0,D64&lt;=0),11)</f>
        <v>21</v>
      </c>
      <c r="F64" s="990">
        <f t="shared" ca="1" si="3"/>
        <v>2221</v>
      </c>
      <c r="G64" s="990">
        <f t="shared" ca="1" si="4"/>
        <v>212212</v>
      </c>
      <c r="H64" s="990" t="str" cm="1">
        <f t="array" aca="1" ref="H64" ca="1">_xlfn.IFS(D64&gt;0,"U",D64&lt;=0,"D",D64=0,"Z")</f>
        <v>D</v>
      </c>
      <c r="I64" s="990" t="str">
        <f t="shared" ca="1" si="5"/>
        <v>UD</v>
      </c>
      <c r="J64" s="990" t="str">
        <f t="shared" ca="1" si="6"/>
        <v>UUD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10</v>
      </c>
      <c r="W64" s="990">
        <f t="shared" ca="1" si="2"/>
        <v>12</v>
      </c>
      <c r="AK64" s="990" vm="239">
        <f ca="1"/>
        <v>45747</v>
      </c>
      <c r="AL64" s="990" vm="236">
        <f ca="1"/>
        <v>259.16000000000003</v>
      </c>
      <c r="AP64" s="990" vm="240">
        <f ca="1"/>
        <v>268.45999999999998</v>
      </c>
    </row>
    <row r="65" spans="2:42" x14ac:dyDescent="0.3">
      <c r="B65" s="990" vm="241">
        <f ca="1"/>
        <v>45824</v>
      </c>
      <c r="C65" s="990" vm="242">
        <f ca="1"/>
        <v>329.13</v>
      </c>
      <c r="D65" s="998">
        <f t="shared" ca="1" si="0"/>
        <v>1.1742645476622278E-2</v>
      </c>
      <c r="E65" s="990" cm="1">
        <f t="array" aca="1" ref="E65" ca="1">_xlfn.IFS(AND(D66&gt;=0,D65&gt;=0),22,AND(D66&gt;0,D65&lt;=0),21,  AND(D66&lt;0,D65&gt;0),12,AND(D66&lt;=0,D65&lt;=0),11)</f>
        <v>22</v>
      </c>
      <c r="F65" s="990">
        <f t="shared" ca="1" si="3"/>
        <v>1222</v>
      </c>
      <c r="G65" s="990">
        <f t="shared" ca="1" si="4"/>
        <v>221221</v>
      </c>
      <c r="H65" s="990" t="str" cm="1">
        <f t="array" aca="1" ref="H65" ca="1">_xlfn.IFS(D65&gt;0,"U",D65&lt;=0,"D",D65=0,"Z")</f>
        <v>U</v>
      </c>
      <c r="I65" s="990" t="str">
        <f t="shared" ca="1" si="5"/>
        <v>UU</v>
      </c>
      <c r="J65" s="990" t="str">
        <f t="shared" ca="1" si="6"/>
        <v>DUU</v>
      </c>
      <c r="K65" s="989"/>
      <c r="L65" s="990" t="s">
        <v>2402</v>
      </c>
      <c r="V65" s="990">
        <f t="shared" ca="1" si="16"/>
        <v>10</v>
      </c>
      <c r="W65" s="990">
        <f t="shared" ca="1" si="2"/>
        <v>12</v>
      </c>
      <c r="AK65" s="990" vm="243">
        <f ca="1"/>
        <v>45748</v>
      </c>
      <c r="AL65" s="990" vm="240">
        <f ca="1"/>
        <v>268.45999999999998</v>
      </c>
      <c r="AP65" s="990" vm="244">
        <f ca="1"/>
        <v>282.76</v>
      </c>
    </row>
    <row r="66" spans="2:42" x14ac:dyDescent="0.3">
      <c r="B66" s="990" vm="245">
        <f ca="1"/>
        <v>45821</v>
      </c>
      <c r="C66" s="990" vm="246">
        <f ca="1"/>
        <v>325.31</v>
      </c>
      <c r="D66" s="998">
        <f t="shared" ca="1" si="0"/>
        <v>1.9429037009181749E-2</v>
      </c>
      <c r="E66" s="990" cm="1">
        <f t="array" aca="1" ref="E66" ca="1">_xlfn.IFS(AND(D67&gt;=0,D66&gt;=0),22,AND(D67&gt;0,D66&lt;=0),21,  AND(D67&lt;0,D66&gt;0),12,AND(D67&lt;=0,D66&lt;=0),11)</f>
        <v>12</v>
      </c>
      <c r="F66" s="990">
        <f t="shared" ca="1" si="3"/>
        <v>2112</v>
      </c>
      <c r="G66" s="990">
        <f t="shared" ca="1" si="4"/>
        <v>122122</v>
      </c>
      <c r="H66" s="990" t="str" cm="1">
        <f t="array" aca="1" ref="H66" ca="1">_xlfn.IFS(D66&gt;0,"U",D66&lt;=0,"D",D66=0,"Z")</f>
        <v>U</v>
      </c>
      <c r="I66" s="990" t="str">
        <f t="shared" ca="1" si="5"/>
        <v>DU</v>
      </c>
      <c r="J66" s="990" t="str">
        <f t="shared" ca="1" si="6"/>
        <v>UDU</v>
      </c>
      <c r="L66" s="990">
        <f ca="1">COUNTIF(J$5:$J25,L67)</f>
        <v>4</v>
      </c>
      <c r="M66" s="990">
        <f ca="1">COUNTIF($J$5:K25,M67)</f>
        <v>3</v>
      </c>
      <c r="N66" s="990">
        <f ca="1">COUNTIF($J$5:L25,N67)</f>
        <v>1</v>
      </c>
      <c r="O66" s="990">
        <f ca="1">COUNTIF($J$5:M25,O67)</f>
        <v>3</v>
      </c>
      <c r="P66" s="990">
        <f ca="1">COUNTIF($J$5:N25,P67)</f>
        <v>3</v>
      </c>
      <c r="Q66" s="990">
        <f ca="1">COUNTIF($J$5:O25,Q67)</f>
        <v>1</v>
      </c>
      <c r="R66" s="990">
        <f ca="1">COUNTIF($J$5:P25,R67)</f>
        <v>3</v>
      </c>
      <c r="S66" s="990">
        <f ca="1">COUNTIF($J$5:Q25,S67)</f>
        <v>3</v>
      </c>
      <c r="T66" s="990">
        <f ca="1">SUM(L66:S66)</f>
        <v>21</v>
      </c>
      <c r="V66" s="990">
        <f t="shared" ca="1" si="16"/>
        <v>10</v>
      </c>
      <c r="W66" s="990">
        <f t="shared" ca="1" si="2"/>
        <v>12</v>
      </c>
      <c r="AK66" s="990" vm="247">
        <f ca="1"/>
        <v>45749</v>
      </c>
      <c r="AL66" s="990" vm="244">
        <f ca="1"/>
        <v>282.76</v>
      </c>
      <c r="AP66" s="990" vm="248">
        <f ca="1"/>
        <v>267.27999999999997</v>
      </c>
    </row>
    <row r="67" spans="2:42" x14ac:dyDescent="0.3">
      <c r="B67" s="990" vm="249">
        <f ca="1"/>
        <v>45820</v>
      </c>
      <c r="C67" s="990" vm="250">
        <f ca="1"/>
        <v>319.11</v>
      </c>
      <c r="D67" s="998">
        <f t="shared" ca="1" si="0"/>
        <v>-2.2424409521183693E-2</v>
      </c>
      <c r="E67" s="990" cm="1">
        <f t="array" aca="1" ref="E67" ca="1">_xlfn.IFS(AND(D68&gt;=0,D67&gt;=0),22,AND(D68&gt;0,D67&lt;=0),21,  AND(D68&lt;0,D67&gt;0),12,AND(D68&lt;=0,D67&lt;=0),11)</f>
        <v>21</v>
      </c>
      <c r="F67" s="990">
        <f t="shared" ca="1" si="3"/>
        <v>2221</v>
      </c>
      <c r="G67" s="990">
        <f t="shared" ca="1" si="4"/>
        <v>212222</v>
      </c>
      <c r="H67" s="990" t="str" cm="1">
        <f t="array" aca="1" ref="H67" ca="1">_xlfn.IFS(D67&gt;0,"U",D67&lt;=0,"D",D67=0,"Z")</f>
        <v>D</v>
      </c>
      <c r="I67" s="990" t="str">
        <f t="shared" ca="1" si="5"/>
        <v>UD</v>
      </c>
      <c r="J67" s="990" t="str">
        <f t="shared" ca="1" si="6"/>
        <v>UUD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10</v>
      </c>
      <c r="W67" s="990">
        <f t="shared" ca="1" si="2"/>
        <v>12</v>
      </c>
      <c r="AK67" s="990" vm="251">
        <f ca="1"/>
        <v>45750</v>
      </c>
      <c r="AL67" s="990" vm="248">
        <f ca="1"/>
        <v>267.27999999999997</v>
      </c>
      <c r="AP67" s="990" vm="252">
        <f ca="1"/>
        <v>239.43</v>
      </c>
    </row>
    <row r="68" spans="2:42" x14ac:dyDescent="0.3">
      <c r="B68" s="990" vm="253">
        <f ca="1"/>
        <v>45819</v>
      </c>
      <c r="C68" s="990" vm="254">
        <f ca="1"/>
        <v>326.43</v>
      </c>
      <c r="D68" s="998">
        <f t="shared" ca="1" si="0"/>
        <v>1.0426569352020359E-3</v>
      </c>
      <c r="E68" s="990" cm="1">
        <f t="array" aca="1" ref="E68" ca="1">_xlfn.IFS(AND(D69&gt;=0,D68&gt;=0),22,AND(D69&gt;0,D68&lt;=0),21,  AND(D69&lt;0,D68&gt;0),12,AND(D69&lt;=0,D68&lt;=0),11)</f>
        <v>22</v>
      </c>
      <c r="F68" s="990">
        <f t="shared" ca="1" si="3"/>
        <v>2222</v>
      </c>
      <c r="G68" s="990">
        <f t="shared" ca="1" si="4"/>
        <v>222222</v>
      </c>
      <c r="H68" s="990" t="str" cm="1">
        <f t="array" aca="1" ref="H68" ca="1">_xlfn.IFS(D68&gt;0,"U",D68&lt;=0,"D",D68=0,"Z")</f>
        <v>U</v>
      </c>
      <c r="I68" s="990" t="str">
        <f t="shared" ca="1" si="5"/>
        <v>UU</v>
      </c>
      <c r="J68" s="990" t="str">
        <f t="shared" ca="1" si="6"/>
        <v>UUU</v>
      </c>
      <c r="K68" s="990" t="s">
        <v>11</v>
      </c>
      <c r="L68" s="990" cm="1">
        <f t="array" aca="1" ref="L68" ca="1">SUM( --( ($J$6:$J$25=$K68) * ($J$5:$J$24=L$67) ) )</f>
        <v>1</v>
      </c>
      <c r="M68" s="990" cm="1">
        <f t="array" aca="1" ref="M68" ca="1">SUM( --( ($J$6:$J$25=$K68) * ($J$5:$J$24=M$67) ) )</f>
        <v>3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4</v>
      </c>
      <c r="V68" s="990">
        <f t="shared" ca="1" si="16"/>
        <v>9</v>
      </c>
      <c r="W68" s="990">
        <f t="shared" ca="1" si="2"/>
        <v>13</v>
      </c>
      <c r="AK68" s="990" vm="255">
        <f ca="1"/>
        <v>45751</v>
      </c>
      <c r="AL68" s="990" vm="252">
        <f ca="1"/>
        <v>239.43</v>
      </c>
      <c r="AP68" s="990" vm="256">
        <f ca="1"/>
        <v>233.29</v>
      </c>
    </row>
    <row r="69" spans="2:42" x14ac:dyDescent="0.3">
      <c r="B69" s="990" vm="257">
        <f ca="1"/>
        <v>45818</v>
      </c>
      <c r="C69" s="990" vm="258">
        <f ca="1"/>
        <v>326.08999999999997</v>
      </c>
      <c r="D69" s="998">
        <f t="shared" ref="D69:D132" ca="1" si="20">IFERROR((C69-C70)/C70,0)</f>
        <v>5.6743794153866073E-2</v>
      </c>
      <c r="E69" s="990" cm="1">
        <f t="array" aca="1" ref="E69" ca="1">_xlfn.IFS(AND(D70&gt;=0,D69&gt;=0),22,AND(D70&gt;0,D69&lt;=0),21,  AND(D70&lt;0,D69&gt;0),12,AND(D70&lt;=0,D69&lt;=0),11)</f>
        <v>22</v>
      </c>
      <c r="F69" s="990">
        <f t="shared" ca="1" si="3"/>
        <v>2222</v>
      </c>
      <c r="G69" s="990">
        <f t="shared" ca="1" si="4"/>
        <v>222212</v>
      </c>
      <c r="H69" s="990" t="str" cm="1">
        <f t="array" aca="1" ref="H69" ca="1">_xlfn.IFS(D69&gt;0,"U",D69&lt;=0,"D",D69=0,"Z")</f>
        <v>U</v>
      </c>
      <c r="I69" s="990" t="str">
        <f t="shared" ca="1" si="5"/>
        <v>UU</v>
      </c>
      <c r="J69" s="990" t="str">
        <f t="shared" ca="1" si="6"/>
        <v>UUU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1</v>
      </c>
      <c r="O69" s="990" cm="1">
        <f t="array" aca="1" ref="O69" ca="1">SUM( --( ($J$6:$J$25=$K69) * ($J$5:$J$24=O$67) ) )</f>
        <v>2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3</v>
      </c>
      <c r="V69" s="990">
        <f t="shared" ca="1" si="16"/>
        <v>9</v>
      </c>
      <c r="W69" s="990">
        <f t="shared" ref="W69:W126" ca="1" si="22">COUNTIF(D69:D90,"&gt;0")</f>
        <v>13</v>
      </c>
      <c r="AK69" s="990" vm="259">
        <f ca="1"/>
        <v>45754</v>
      </c>
      <c r="AL69" s="990" vm="256">
        <f ca="1"/>
        <v>233.29</v>
      </c>
      <c r="AP69" s="990" vm="260">
        <f ca="1"/>
        <v>221.86</v>
      </c>
    </row>
    <row r="70" spans="2:42" x14ac:dyDescent="0.3">
      <c r="B70" s="990" vm="261">
        <f ca="1"/>
        <v>45817</v>
      </c>
      <c r="C70" s="990" vm="262">
        <f ca="1"/>
        <v>308.58</v>
      </c>
      <c r="D70" s="998">
        <f t="shared" ca="1" si="20"/>
        <v>4.5537710916853012E-2</v>
      </c>
      <c r="E70" s="990" cm="1">
        <f t="array" aca="1" ref="E70" ca="1">_xlfn.IFS(AND(D71&gt;=0,D70&gt;=0),22,AND(D71&gt;0,D70&lt;=0),21,  AND(D71&lt;0,D70&gt;0),12,AND(D71&lt;=0,D70&lt;=0),11)</f>
        <v>22</v>
      </c>
      <c r="F70" s="990">
        <f t="shared" ref="F70:F133" ca="1" si="23">VALUE(E71&amp;E70)</f>
        <v>1222</v>
      </c>
      <c r="G70" s="990">
        <f t="shared" ref="G70:G133" ca="1" si="24">VALUE(E70&amp;E71&amp;E72)</f>
        <v>221211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UU</v>
      </c>
      <c r="J70" s="990" t="str">
        <f t="shared" ref="J70:J133" ca="1" si="26">_xlfn.CONCAT(H72,H71,H70)</f>
        <v>DUU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1</v>
      </c>
      <c r="Q70" s="990" cm="1">
        <f t="array" aca="1" ref="Q70" ca="1">SUM( --( ($J$6:$J$25=$K70) * ($J$5:$J$24=Q$67) ) )</f>
        <v>0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1</v>
      </c>
      <c r="V70" s="990">
        <f t="shared" ca="1" si="16"/>
        <v>9</v>
      </c>
      <c r="W70" s="990">
        <f t="shared" ca="1" si="22"/>
        <v>13</v>
      </c>
      <c r="AK70" s="990" vm="263">
        <f ca="1"/>
        <v>45755</v>
      </c>
      <c r="AL70" s="990" vm="260">
        <f ca="1"/>
        <v>221.86</v>
      </c>
      <c r="AP70" s="990" vm="264">
        <f ca="1"/>
        <v>272.2</v>
      </c>
    </row>
    <row r="71" spans="2:42" x14ac:dyDescent="0.3">
      <c r="B71" s="990" vm="265">
        <f ca="1"/>
        <v>45814</v>
      </c>
      <c r="C71" s="990" vm="266">
        <f ca="1"/>
        <v>295.14</v>
      </c>
      <c r="D71" s="998">
        <f t="shared" ca="1" si="20"/>
        <v>3.6670179135932554E-2</v>
      </c>
      <c r="E71" s="990" cm="1">
        <f t="array" aca="1" ref="E71" ca="1">_xlfn.IFS(AND(D72&gt;=0,D71&gt;=0),22,AND(D72&gt;0,D71&lt;=0),21,  AND(D72&lt;0,D71&gt;0),12,AND(D72&lt;=0,D71&lt;=0),11)</f>
        <v>12</v>
      </c>
      <c r="F71" s="990">
        <f t="shared" ca="1" si="23"/>
        <v>1112</v>
      </c>
      <c r="G71" s="990">
        <f t="shared" ca="1" si="24"/>
        <v>121121</v>
      </c>
      <c r="H71" s="990" t="str" cm="1">
        <f t="array" aca="1" ref="H71" ca="1">_xlfn.IFS(D71&gt;0,"U",D71&lt;=0,"D",D71=0,"Z")</f>
        <v>U</v>
      </c>
      <c r="I71" s="990" t="str">
        <f t="shared" ca="1" si="25"/>
        <v>DU</v>
      </c>
      <c r="J71" s="990" t="str">
        <f t="shared" ca="1" si="26"/>
        <v>DDU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0</v>
      </c>
      <c r="S71" s="990" cm="1">
        <f t="array" aca="1" ref="S71" ca="1">SUM( --( ($J$6:$J$25=$K71) * ($J$5:$J$24=S$67) ) )</f>
        <v>3</v>
      </c>
      <c r="T71" s="990">
        <f t="shared" ca="1" si="21"/>
        <v>3</v>
      </c>
      <c r="V71" s="990">
        <f t="shared" ca="1" si="16"/>
        <v>9</v>
      </c>
      <c r="W71" s="990">
        <f t="shared" ca="1" si="22"/>
        <v>13</v>
      </c>
      <c r="AK71" s="990" vm="267">
        <f ca="1"/>
        <v>45756</v>
      </c>
      <c r="AL71" s="990" vm="264">
        <f ca="1"/>
        <v>272.2</v>
      </c>
      <c r="AP71" s="990" vm="268">
        <f ca="1"/>
        <v>252.4</v>
      </c>
    </row>
    <row r="72" spans="2:42" x14ac:dyDescent="0.3">
      <c r="B72" s="990" vm="269">
        <f ca="1"/>
        <v>45813</v>
      </c>
      <c r="C72" s="990" vm="270">
        <f ca="1"/>
        <v>284.7</v>
      </c>
      <c r="D72" s="998">
        <f t="shared" ca="1" si="20"/>
        <v>-0.14259900617376908</v>
      </c>
      <c r="E72" s="990" cm="1">
        <f t="array" aca="1" ref="E72" ca="1">_xlfn.IFS(AND(D73&gt;=0,D72&gt;=0),22,AND(D73&gt;0,D72&lt;=0),21,  AND(D73&lt;0,D72&gt;0),12,AND(D73&lt;=0,D72&lt;=0),11)</f>
        <v>11</v>
      </c>
      <c r="F72" s="990">
        <f t="shared" ca="1" si="23"/>
        <v>2111</v>
      </c>
      <c r="G72" s="990">
        <f t="shared" ca="1" si="24"/>
        <v>112112</v>
      </c>
      <c r="H72" s="990" t="str" cm="1">
        <f t="array" aca="1" ref="H72" ca="1">_xlfn.IFS(D72&gt;0,"U",D72&lt;=0,"D",D72=0,"Z")</f>
        <v>D</v>
      </c>
      <c r="I72" s="990" t="str">
        <f t="shared" ca="1" si="25"/>
        <v>DD</v>
      </c>
      <c r="J72" s="990" t="str">
        <f t="shared" ca="1" si="26"/>
        <v>UDD</v>
      </c>
      <c r="K72" s="990" t="s">
        <v>2406</v>
      </c>
      <c r="L72" s="990" cm="1">
        <f t="array" aca="1" ref="L72" ca="1">SUM( --( ($J$6:$J$25=$K72) * ($J$5:$J$24=L$67) ) )</f>
        <v>3</v>
      </c>
      <c r="M72" s="990" cm="1">
        <f t="array" aca="1" ref="M72" ca="1">SUM( --( ($J$6:$J$25=$K72) * ($J$5:$J$24=M$67) ) )</f>
        <v>0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3</v>
      </c>
      <c r="V72" s="990">
        <f t="shared" ca="1" si="16"/>
        <v>10</v>
      </c>
      <c r="W72" s="990">
        <f t="shared" ca="1" si="22"/>
        <v>12</v>
      </c>
      <c r="AK72" s="990" vm="271">
        <f ca="1"/>
        <v>45757</v>
      </c>
      <c r="AL72" s="990" vm="268">
        <f ca="1"/>
        <v>252.4</v>
      </c>
      <c r="AP72" s="990" vm="272">
        <f ca="1"/>
        <v>252.31</v>
      </c>
    </row>
    <row r="73" spans="2:42" x14ac:dyDescent="0.3">
      <c r="B73" s="990" vm="273">
        <f ca="1"/>
        <v>45812</v>
      </c>
      <c r="C73" s="990" vm="274">
        <f ca="1"/>
        <v>332.05</v>
      </c>
      <c r="D73" s="998">
        <f t="shared" ca="1" si="20"/>
        <v>-3.5495396055421534E-2</v>
      </c>
      <c r="E73" s="990" cm="1">
        <f t="array" aca="1" ref="E73" ca="1">_xlfn.IFS(AND(D74&gt;=0,D73&gt;=0),22,AND(D74&gt;0,D73&lt;=0),21,  AND(D74&lt;0,D73&gt;0),12,AND(D74&lt;=0,D73&lt;=0),11)</f>
        <v>21</v>
      </c>
      <c r="F73" s="990">
        <f t="shared" ca="1" si="23"/>
        <v>1221</v>
      </c>
      <c r="G73" s="990">
        <f t="shared" ca="1" si="24"/>
        <v>211211</v>
      </c>
      <c r="H73" s="990" t="str" cm="1">
        <f t="array" aca="1" ref="H73" ca="1">_xlfn.IFS(D73&gt;0,"U",D73&lt;=0,"D",D73=0,"Z")</f>
        <v>D</v>
      </c>
      <c r="I73" s="990" t="str">
        <f t="shared" ca="1" si="25"/>
        <v>UD</v>
      </c>
      <c r="J73" s="990" t="str">
        <f t="shared" ca="1" si="26"/>
        <v>DUD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1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1</v>
      </c>
      <c r="V73" s="990">
        <f t="shared" ca="1" si="16"/>
        <v>10</v>
      </c>
      <c r="W73" s="990">
        <f t="shared" ca="1" si="22"/>
        <v>12</v>
      </c>
      <c r="AK73" s="990" vm="275">
        <f ca="1"/>
        <v>45758</v>
      </c>
      <c r="AL73" s="990" vm="272">
        <f ca="1"/>
        <v>252.31</v>
      </c>
      <c r="AP73" s="990" vm="276">
        <f ca="1"/>
        <v>252.35</v>
      </c>
    </row>
    <row r="74" spans="2:42" x14ac:dyDescent="0.3">
      <c r="B74" s="990" vm="277">
        <f ca="1"/>
        <v>45811</v>
      </c>
      <c r="C74" s="990" vm="278">
        <f ca="1"/>
        <v>344.27</v>
      </c>
      <c r="D74" s="998">
        <f t="shared" ca="1" si="20"/>
        <v>4.6105809915666755E-3</v>
      </c>
      <c r="E74" s="990" cm="1">
        <f t="array" aca="1" ref="E74" ca="1">_xlfn.IFS(AND(D75&gt;=0,D74&gt;=0),22,AND(D75&gt;0,D74&lt;=0),21,  AND(D75&lt;0,D74&gt;0),12,AND(D75&lt;=0,D74&lt;=0),11)</f>
        <v>12</v>
      </c>
      <c r="F74" s="990">
        <f t="shared" ca="1" si="23"/>
        <v>1112</v>
      </c>
      <c r="G74" s="990">
        <f t="shared" ca="1" si="24"/>
        <v>121121</v>
      </c>
      <c r="H74" s="990" t="str" cm="1">
        <f t="array" aca="1" ref="H74" ca="1">_xlfn.IFS(D74&gt;0,"U",D74&lt;=0,"D",D74=0,"Z")</f>
        <v>U</v>
      </c>
      <c r="I74" s="990" t="str">
        <f t="shared" ca="1" si="25"/>
        <v>DU</v>
      </c>
      <c r="J74" s="990" t="str">
        <f t="shared" ca="1" si="26"/>
        <v>DDU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2</v>
      </c>
      <c r="Q74" s="990" cm="1">
        <f t="array" aca="1" ref="Q74" ca="1">SUM( --( ($J$6:$J$25=$K74) * ($J$5:$J$24=Q$67) ) )</f>
        <v>1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3</v>
      </c>
      <c r="V74" s="990">
        <f t="shared" ca="1" si="16"/>
        <v>9</v>
      </c>
      <c r="W74" s="990">
        <f t="shared" ca="1" si="22"/>
        <v>13</v>
      </c>
      <c r="AK74" s="990" vm="279">
        <f ca="1"/>
        <v>45761</v>
      </c>
      <c r="AL74" s="990" vm="276">
        <f ca="1"/>
        <v>252.35</v>
      </c>
      <c r="AP74" s="990" vm="280">
        <f ca="1"/>
        <v>254.11</v>
      </c>
    </row>
    <row r="75" spans="2:42" x14ac:dyDescent="0.3">
      <c r="B75" s="990" vm="281">
        <f ca="1"/>
        <v>45810</v>
      </c>
      <c r="C75" s="990" vm="282">
        <f ca="1"/>
        <v>342.69</v>
      </c>
      <c r="D75" s="998">
        <f t="shared" ca="1" si="20"/>
        <v>-1.0881487040350926E-2</v>
      </c>
      <c r="E75" s="990" cm="1">
        <f t="array" aca="1" ref="E75" ca="1">_xlfn.IFS(AND(D76&gt;=0,D75&gt;=0),22,AND(D76&gt;0,D75&lt;=0),21,  AND(D76&lt;0,D75&gt;0),12,AND(D76&lt;=0,D75&lt;=0),11)</f>
        <v>11</v>
      </c>
      <c r="F75" s="990">
        <f t="shared" ca="1" si="23"/>
        <v>2111</v>
      </c>
      <c r="G75" s="990">
        <f t="shared" ca="1" si="24"/>
        <v>112112</v>
      </c>
      <c r="H75" s="990" t="str" cm="1">
        <f t="array" aca="1" ref="H75" ca="1">_xlfn.IFS(D75&gt;0,"U",D75&lt;=0,"D",D75=0,"Z")</f>
        <v>D</v>
      </c>
      <c r="I75" s="990" t="str">
        <f t="shared" ca="1" si="25"/>
        <v>DD</v>
      </c>
      <c r="J75" s="990" t="str">
        <f t="shared" ca="1" si="26"/>
        <v>UDD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0</v>
      </c>
      <c r="T75" s="990">
        <f t="shared" ca="1" si="21"/>
        <v>2</v>
      </c>
      <c r="V75" s="990">
        <f t="shared" ca="1" si="16"/>
        <v>10</v>
      </c>
      <c r="W75" s="990">
        <f t="shared" ca="1" si="22"/>
        <v>12</v>
      </c>
      <c r="AK75" s="990" vm="283">
        <f ca="1"/>
        <v>45762</v>
      </c>
      <c r="AL75" s="990" vm="280">
        <f ca="1"/>
        <v>254.11</v>
      </c>
      <c r="AP75" s="990" vm="284">
        <f ca="1"/>
        <v>241.55</v>
      </c>
    </row>
    <row r="76" spans="2:42" x14ac:dyDescent="0.3">
      <c r="B76" s="990" vm="285">
        <f ca="1"/>
        <v>45807</v>
      </c>
      <c r="C76" s="990" vm="286">
        <f ca="1"/>
        <v>346.46</v>
      </c>
      <c r="D76" s="998">
        <f t="shared" ca="1" si="20"/>
        <v>-3.3395642105850588E-2</v>
      </c>
      <c r="E76" s="990" cm="1">
        <f t="array" aca="1" ref="E76" ca="1">_xlfn.IFS(AND(D77&gt;=0,D76&gt;=0),22,AND(D77&gt;0,D76&lt;=0),21,  AND(D77&lt;0,D76&gt;0),12,AND(D77&lt;=0,D76&lt;=0),11)</f>
        <v>21</v>
      </c>
      <c r="F76" s="990">
        <f t="shared" ca="1" si="23"/>
        <v>1221</v>
      </c>
      <c r="G76" s="990">
        <f t="shared" ca="1" si="24"/>
        <v>211221</v>
      </c>
      <c r="H76" s="990" t="str" cm="1">
        <f t="array" aca="1" ref="H76" ca="1">_xlfn.IFS(D76&gt;0,"U",D76&lt;=0,"D",D76=0,"Z")</f>
        <v>D</v>
      </c>
      <c r="I76" s="990" t="str">
        <f t="shared" ca="1" si="25"/>
        <v>UD</v>
      </c>
      <c r="J76" s="990" t="str">
        <f t="shared" ca="1" si="26"/>
        <v>DUD</v>
      </c>
      <c r="V76" s="990">
        <f t="shared" ca="1" si="16"/>
        <v>10</v>
      </c>
      <c r="W76" s="990">
        <f t="shared" ca="1" si="22"/>
        <v>12</v>
      </c>
      <c r="AK76" s="990" vm="287">
        <f ca="1"/>
        <v>45763</v>
      </c>
      <c r="AL76" s="990" vm="284">
        <f ca="1"/>
        <v>241.55</v>
      </c>
      <c r="AP76" s="990" vm="288">
        <f ca="1"/>
        <v>241.37</v>
      </c>
    </row>
    <row r="77" spans="2:42" x14ac:dyDescent="0.3">
      <c r="B77" s="990" vm="289">
        <f ca="1"/>
        <v>45806</v>
      </c>
      <c r="C77" s="990" vm="290">
        <f ca="1"/>
        <v>358.43</v>
      </c>
      <c r="D77" s="998">
        <f t="shared" ca="1" si="20"/>
        <v>4.2869151022696264E-3</v>
      </c>
      <c r="E77" s="990" cm="1">
        <f t="array" aca="1" ref="E77" ca="1">_xlfn.IFS(AND(D78&gt;=0,D77&gt;=0),22,AND(D78&gt;0,D77&lt;=0),21,  AND(D78&lt;0,D77&gt;0),12,AND(D78&lt;=0,D77&lt;=0),11)</f>
        <v>12</v>
      </c>
      <c r="F77" s="990">
        <f t="shared" ca="1" si="23"/>
        <v>2112</v>
      </c>
      <c r="G77" s="990">
        <f t="shared" ca="1" si="24"/>
        <v>122112</v>
      </c>
      <c r="H77" s="990" t="str" cm="1">
        <f t="array" aca="1" ref="H77" ca="1">_xlfn.IFS(D77&gt;0,"U",D77&lt;=0,"D",D77=0,"Z")</f>
        <v>U</v>
      </c>
      <c r="I77" s="990" t="str">
        <f t="shared" ca="1" si="25"/>
        <v>DU</v>
      </c>
      <c r="J77" s="990" t="str">
        <f t="shared" ca="1" si="26"/>
        <v>UDU</v>
      </c>
      <c r="V77" s="990">
        <f t="shared" ca="1" si="16"/>
        <v>9</v>
      </c>
      <c r="W77" s="990">
        <f t="shared" ca="1" si="22"/>
        <v>13</v>
      </c>
      <c r="AK77" s="990" vm="291">
        <f ca="1"/>
        <v>45764</v>
      </c>
      <c r="AL77" s="990" vm="288">
        <f ca="1"/>
        <v>241.37</v>
      </c>
      <c r="AP77" s="990" vm="292">
        <f ca="1"/>
        <v>227.5</v>
      </c>
    </row>
    <row r="78" spans="2:42" x14ac:dyDescent="0.3">
      <c r="B78" s="990" vm="293">
        <f ca="1"/>
        <v>45805</v>
      </c>
      <c r="C78" s="990" vm="294">
        <f ca="1"/>
        <v>356.9</v>
      </c>
      <c r="D78" s="998">
        <f t="shared" ca="1" si="20"/>
        <v>-1.6506379343602769E-2</v>
      </c>
      <c r="E78" s="990" cm="1">
        <f t="array" aca="1" ref="E78" ca="1">_xlfn.IFS(AND(D79&gt;=0,D78&gt;=0),22,AND(D79&gt;0,D78&lt;=0),21,  AND(D79&lt;0,D78&gt;0),12,AND(D79&lt;=0,D78&lt;=0),11)</f>
        <v>21</v>
      </c>
      <c r="F78" s="990">
        <f t="shared" ca="1" si="23"/>
        <v>1221</v>
      </c>
      <c r="G78" s="990">
        <f t="shared" ca="1" si="24"/>
        <v>211221</v>
      </c>
      <c r="H78" s="990" t="str" cm="1">
        <f t="array" aca="1" ref="H78" ca="1">_xlfn.IFS(D78&gt;0,"U",D78&lt;=0,"D",D78=0,"Z")</f>
        <v>D</v>
      </c>
      <c r="I78" s="990" t="str">
        <f t="shared" ca="1" si="25"/>
        <v>UD</v>
      </c>
      <c r="J78" s="990" t="str">
        <f t="shared" ca="1" si="26"/>
        <v>DUD</v>
      </c>
      <c r="V78" s="990">
        <f t="shared" ca="1" si="16"/>
        <v>9</v>
      </c>
      <c r="W78" s="990">
        <f t="shared" ca="1" si="22"/>
        <v>13</v>
      </c>
      <c r="AK78" s="990" vm="295">
        <f ca="1"/>
        <v>45768</v>
      </c>
      <c r="AL78" s="990" vm="292">
        <f ca="1"/>
        <v>227.5</v>
      </c>
      <c r="AP78" s="990" vm="296">
        <f ca="1"/>
        <v>237.97</v>
      </c>
    </row>
    <row r="79" spans="2:42" x14ac:dyDescent="0.3">
      <c r="B79" s="990" vm="297">
        <f ca="1"/>
        <v>45804</v>
      </c>
      <c r="C79" s="990" vm="298">
        <f ca="1"/>
        <v>362.89</v>
      </c>
      <c r="D79" s="998">
        <f t="shared" ca="1" si="20"/>
        <v>6.9399422408204195E-2</v>
      </c>
      <c r="E79" s="990" cm="1">
        <f t="array" aca="1" ref="E79" ca="1">_xlfn.IFS(AND(D80&gt;=0,D79&gt;=0),22,AND(D80&gt;0,D79&lt;=0),21,  AND(D80&lt;0,D79&gt;0),12,AND(D80&lt;=0,D79&lt;=0),11)</f>
        <v>12</v>
      </c>
      <c r="F79" s="990">
        <f t="shared" ca="1" si="23"/>
        <v>2112</v>
      </c>
      <c r="G79" s="990">
        <f t="shared" ca="1" si="24"/>
        <v>122112</v>
      </c>
      <c r="H79" s="990" t="str" cm="1">
        <f t="array" aca="1" ref="H79" ca="1">_xlfn.IFS(D79&gt;0,"U",D79&lt;=0,"D",D79=0,"Z")</f>
        <v>U</v>
      </c>
      <c r="I79" s="990" t="str">
        <f t="shared" ca="1" si="25"/>
        <v>DU</v>
      </c>
      <c r="J79" s="990" t="str">
        <f t="shared" ca="1" si="26"/>
        <v>UDU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8</v>
      </c>
      <c r="W79" s="990">
        <f t="shared" ca="1" si="22"/>
        <v>14</v>
      </c>
      <c r="AK79" s="990" vm="299">
        <f ca="1"/>
        <v>45769</v>
      </c>
      <c r="AL79" s="990" vm="296">
        <f ca="1"/>
        <v>237.97</v>
      </c>
      <c r="AP79" s="990" vm="300">
        <f ca="1"/>
        <v>250.74</v>
      </c>
    </row>
    <row r="80" spans="2:42" x14ac:dyDescent="0.3">
      <c r="B80" s="990" vm="301">
        <f ca="1"/>
        <v>45800</v>
      </c>
      <c r="C80" s="990" vm="302">
        <f ca="1"/>
        <v>339.34</v>
      </c>
      <c r="D80" s="998">
        <f t="shared" ca="1" si="20"/>
        <v>-4.9847525216984677E-3</v>
      </c>
      <c r="E80" s="990" cm="1">
        <f t="array" aca="1" ref="E80" ca="1">_xlfn.IFS(AND(D81&gt;=0,D80&gt;=0),22,AND(D81&gt;0,D80&lt;=0),21,  AND(D81&lt;0,D80&gt;0),12,AND(D81&lt;=0,D80&lt;=0),11)</f>
        <v>21</v>
      </c>
      <c r="F80" s="990">
        <f t="shared" ca="1" si="23"/>
        <v>1221</v>
      </c>
      <c r="G80" s="990">
        <f t="shared" ca="1" si="24"/>
        <v>211221</v>
      </c>
      <c r="H80" s="990" t="str" cm="1">
        <f t="array" aca="1" ref="H80" ca="1">_xlfn.IFS(D80&gt;0,"U",D80&lt;=0,"D",D80=0,"Z")</f>
        <v>D</v>
      </c>
      <c r="I80" s="990" t="str">
        <f t="shared" ca="1" si="25"/>
        <v>UD</v>
      </c>
      <c r="J80" s="990" t="str">
        <f t="shared" ca="1" si="26"/>
        <v>DUD</v>
      </c>
      <c r="K80" s="990" t="s">
        <v>11</v>
      </c>
      <c r="L80" s="1042">
        <f ca="1">IF($T80=0,0,L68/$T80)</f>
        <v>0.25</v>
      </c>
      <c r="M80" s="1042">
        <f t="shared" ref="M80:S80" ca="1" si="27">IF($T80=0,0,M68/$T80)</f>
        <v>0.75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4</v>
      </c>
      <c r="V80" s="990">
        <f t="shared" ca="1" si="16"/>
        <v>8</v>
      </c>
      <c r="W80" s="990">
        <f t="shared" ca="1" si="22"/>
        <v>14</v>
      </c>
      <c r="AK80" s="990" vm="303">
        <f ca="1"/>
        <v>45770</v>
      </c>
      <c r="AL80" s="990" vm="300">
        <f ca="1"/>
        <v>250.74</v>
      </c>
      <c r="AP80" s="990" vm="304">
        <f ca="1"/>
        <v>259.51</v>
      </c>
    </row>
    <row r="81" spans="2:42" x14ac:dyDescent="0.3">
      <c r="B81" s="990" vm="305">
        <f ca="1"/>
        <v>45799</v>
      </c>
      <c r="C81" s="990" vm="306">
        <f ca="1"/>
        <v>341.04</v>
      </c>
      <c r="D81" s="998">
        <f t="shared" ca="1" si="20"/>
        <v>1.9185942262865387E-2</v>
      </c>
      <c r="E81" s="990" cm="1">
        <f t="array" aca="1" ref="E81" ca="1">_xlfn.IFS(AND(D82&gt;=0,D81&gt;=0),22,AND(D82&gt;0,D81&lt;=0),21,  AND(D82&lt;0,D81&gt;0),12,AND(D82&lt;=0,D81&lt;=0),11)</f>
        <v>12</v>
      </c>
      <c r="F81" s="990">
        <f t="shared" ca="1" si="23"/>
        <v>2112</v>
      </c>
      <c r="G81" s="990">
        <f t="shared" ca="1" si="24"/>
        <v>122112</v>
      </c>
      <c r="H81" s="990" t="str" cm="1">
        <f t="array" aca="1" ref="H81" ca="1">_xlfn.IFS(D81&gt;0,"U",D81&lt;=0,"D",D81=0,"Z")</f>
        <v>U</v>
      </c>
      <c r="I81" s="990" t="str">
        <f t="shared" ca="1" si="25"/>
        <v>DU</v>
      </c>
      <c r="J81" s="990" t="str">
        <f t="shared" ca="1" si="26"/>
        <v>UDU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0.33333333333333331</v>
      </c>
      <c r="O81" s="1042">
        <f t="shared" ca="1" si="28"/>
        <v>0.66666666666666663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3</v>
      </c>
      <c r="V81" s="990">
        <f t="shared" ca="1" si="16"/>
        <v>7</v>
      </c>
      <c r="W81" s="990">
        <f t="shared" ca="1" si="22"/>
        <v>15</v>
      </c>
      <c r="AK81" s="990" vm="307">
        <f ca="1"/>
        <v>45771</v>
      </c>
      <c r="AL81" s="990" vm="304">
        <f ca="1"/>
        <v>259.51</v>
      </c>
      <c r="AP81" s="990" vm="308">
        <f ca="1"/>
        <v>284.95</v>
      </c>
    </row>
    <row r="82" spans="2:42" x14ac:dyDescent="0.3">
      <c r="B82" s="990" vm="309">
        <f ca="1"/>
        <v>45798</v>
      </c>
      <c r="C82" s="990" vm="310">
        <f ca="1"/>
        <v>334.62</v>
      </c>
      <c r="D82" s="998">
        <f t="shared" ca="1" si="20"/>
        <v>-2.6758187423651877E-2</v>
      </c>
      <c r="E82" s="990" cm="1">
        <f t="array" aca="1" ref="E82" ca="1">_xlfn.IFS(AND(D83&gt;=0,D82&gt;=0),22,AND(D83&gt;0,D82&lt;=0),21,  AND(D83&lt;0,D82&gt;0),12,AND(D83&lt;=0,D82&lt;=0),11)</f>
        <v>21</v>
      </c>
      <c r="F82" s="990">
        <f t="shared" ca="1" si="23"/>
        <v>1221</v>
      </c>
      <c r="G82" s="990">
        <f t="shared" ca="1" si="24"/>
        <v>211221</v>
      </c>
      <c r="H82" s="990" t="str" cm="1">
        <f t="array" aca="1" ref="H82" ca="1">_xlfn.IFS(D82&gt;0,"U",D82&lt;=0,"D",D82=0,"Z")</f>
        <v>D</v>
      </c>
      <c r="I82" s="990" t="str">
        <f t="shared" ca="1" si="25"/>
        <v>UD</v>
      </c>
      <c r="J82" s="990" t="str">
        <f t="shared" ca="1" si="26"/>
        <v>DUD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1</v>
      </c>
      <c r="Q82" s="1042">
        <f t="shared" ca="1" si="30"/>
        <v>0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1</v>
      </c>
      <c r="V82" s="990">
        <f t="shared" ca="1" si="16"/>
        <v>7</v>
      </c>
      <c r="W82" s="990">
        <f t="shared" ca="1" si="22"/>
        <v>15</v>
      </c>
      <c r="AK82" s="990" vm="311">
        <f ca="1"/>
        <v>45772</v>
      </c>
      <c r="AL82" s="990" vm="308">
        <f ca="1"/>
        <v>284.95</v>
      </c>
      <c r="AP82" s="990" vm="312">
        <f ca="1"/>
        <v>285.88</v>
      </c>
    </row>
    <row r="83" spans="2:42" x14ac:dyDescent="0.3">
      <c r="B83" s="990" vm="313">
        <f ca="1"/>
        <v>45797</v>
      </c>
      <c r="C83" s="990" vm="314">
        <f ca="1"/>
        <v>343.82</v>
      </c>
      <c r="D83" s="998">
        <f t="shared" ca="1" si="20"/>
        <v>5.0571487035575968E-3</v>
      </c>
      <c r="E83" s="990" cm="1">
        <f t="array" aca="1" ref="E83" ca="1">_xlfn.IFS(AND(D84&gt;=0,D83&gt;=0),22,AND(D84&gt;0,D83&lt;=0),21,  AND(D84&lt;0,D83&gt;0),12,AND(D84&lt;=0,D83&lt;=0),11)</f>
        <v>12</v>
      </c>
      <c r="F83" s="990">
        <f t="shared" ca="1" si="23"/>
        <v>2112</v>
      </c>
      <c r="G83" s="990">
        <f t="shared" ca="1" si="24"/>
        <v>122112</v>
      </c>
      <c r="H83" s="990" t="str" cm="1">
        <f t="array" aca="1" ref="H83" ca="1">_xlfn.IFS(D83&gt;0,"U",D83&lt;=0,"D",D83=0,"Z")</f>
        <v>U</v>
      </c>
      <c r="I83" s="990" t="str">
        <f t="shared" ca="1" si="25"/>
        <v>DU</v>
      </c>
      <c r="J83" s="990" t="str">
        <f t="shared" ca="1" si="26"/>
        <v>UDU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</v>
      </c>
      <c r="S83" s="1042">
        <f t="shared" ca="1" si="31"/>
        <v>1</v>
      </c>
      <c r="T83" s="990">
        <f t="shared" ca="1" si="29"/>
        <v>3</v>
      </c>
      <c r="V83" s="990">
        <f t="shared" ca="1" si="16"/>
        <v>7</v>
      </c>
      <c r="W83" s="990">
        <f t="shared" ca="1" si="22"/>
        <v>15</v>
      </c>
      <c r="AK83" s="990" vm="315">
        <f ca="1"/>
        <v>45775</v>
      </c>
      <c r="AL83" s="990" vm="312">
        <f ca="1"/>
        <v>285.88</v>
      </c>
      <c r="AP83" s="990" vm="316">
        <f ca="1"/>
        <v>292.02999999999997</v>
      </c>
    </row>
    <row r="84" spans="2:42" x14ac:dyDescent="0.3">
      <c r="B84" s="990" vm="317">
        <f ca="1"/>
        <v>45796</v>
      </c>
      <c r="C84" s="990" vm="318">
        <f ca="1"/>
        <v>342.09</v>
      </c>
      <c r="D84" s="998">
        <f t="shared" ca="1" si="20"/>
        <v>-2.2544145379736109E-2</v>
      </c>
      <c r="E84" s="990" cm="1">
        <f t="array" aca="1" ref="E84" ca="1">_xlfn.IFS(AND(D85&gt;=0,D84&gt;=0),22,AND(D85&gt;0,D84&lt;=0),21,  AND(D85&lt;0,D84&gt;0),12,AND(D85&lt;=0,D84&lt;=0),11)</f>
        <v>21</v>
      </c>
      <c r="F84" s="990">
        <f t="shared" ca="1" si="23"/>
        <v>1221</v>
      </c>
      <c r="G84" s="990">
        <f t="shared" ca="1" si="24"/>
        <v>211221</v>
      </c>
      <c r="H84" s="990" t="str" cm="1">
        <f t="array" aca="1" ref="H84" ca="1">_xlfn.IFS(D84&gt;0,"U",D84&lt;=0,"D",D84=0,"Z")</f>
        <v>D</v>
      </c>
      <c r="I84" s="990" t="str">
        <f t="shared" ca="1" si="25"/>
        <v>UD</v>
      </c>
      <c r="J84" s="990" t="str">
        <f t="shared" ca="1" si="26"/>
        <v>DUD</v>
      </c>
      <c r="K84" s="990" t="s">
        <v>2406</v>
      </c>
      <c r="L84" s="1042">
        <f ca="1">IF($T84=0,0,L72/$T84)</f>
        <v>1</v>
      </c>
      <c r="M84" s="1042">
        <f t="shared" ref="M84:S84" ca="1" si="32">IF($T84=0,0,M72/$T84)</f>
        <v>0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3</v>
      </c>
      <c r="V84" s="990">
        <f t="shared" ca="1" si="16"/>
        <v>8</v>
      </c>
      <c r="W84" s="990">
        <f t="shared" ca="1" si="22"/>
        <v>14</v>
      </c>
      <c r="AK84" s="990" vm="319">
        <f ca="1"/>
        <v>45776</v>
      </c>
      <c r="AL84" s="990" vm="316">
        <f ca="1"/>
        <v>292.02999999999997</v>
      </c>
      <c r="AP84" s="990" vm="320">
        <f ca="1"/>
        <v>282.16000000000003</v>
      </c>
    </row>
    <row r="85" spans="2:42" x14ac:dyDescent="0.3">
      <c r="B85" s="990" vm="321">
        <f ca="1"/>
        <v>45793</v>
      </c>
      <c r="C85" s="990" vm="322">
        <f ca="1"/>
        <v>349.98</v>
      </c>
      <c r="D85" s="998">
        <f t="shared" ca="1" si="20"/>
        <v>2.0885595939560193E-2</v>
      </c>
      <c r="E85" s="990" cm="1">
        <f t="array" aca="1" ref="E85" ca="1">_xlfn.IFS(AND(D86&gt;=0,D85&gt;=0),22,AND(D86&gt;0,D85&lt;=0),21,  AND(D86&lt;0,D85&gt;0),12,AND(D86&lt;=0,D85&lt;=0),11)</f>
        <v>12</v>
      </c>
      <c r="F85" s="990">
        <f t="shared" ca="1" si="23"/>
        <v>2112</v>
      </c>
      <c r="G85" s="990">
        <f t="shared" ca="1" si="24"/>
        <v>122122</v>
      </c>
      <c r="H85" s="990" t="str" cm="1">
        <f t="array" aca="1" ref="H85" ca="1">_xlfn.IFS(D85&gt;0,"U",D85&lt;=0,"D",D85=0,"Z")</f>
        <v>U</v>
      </c>
      <c r="I85" s="990" t="str">
        <f t="shared" ca="1" si="25"/>
        <v>DU</v>
      </c>
      <c r="J85" s="990" t="str">
        <f t="shared" ca="1" si="26"/>
        <v>UDU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1</v>
      </c>
      <c r="V85" s="990">
        <f t="shared" ca="1" si="16"/>
        <v>8</v>
      </c>
      <c r="W85" s="990">
        <f t="shared" ca="1" si="22"/>
        <v>14</v>
      </c>
      <c r="AK85" s="990" vm="323">
        <f ca="1"/>
        <v>45777</v>
      </c>
      <c r="AL85" s="990" vm="320">
        <f ca="1"/>
        <v>282.16000000000003</v>
      </c>
      <c r="AP85" s="990" vm="324">
        <f ca="1"/>
        <v>280.52</v>
      </c>
    </row>
    <row r="86" spans="2:42" x14ac:dyDescent="0.3">
      <c r="B86" s="990" vm="325">
        <f ca="1"/>
        <v>45792</v>
      </c>
      <c r="C86" s="990" vm="326">
        <f ca="1"/>
        <v>342.82</v>
      </c>
      <c r="D86" s="998">
        <f t="shared" ca="1" si="20"/>
        <v>-1.3978370915784669E-2</v>
      </c>
      <c r="E86" s="990" cm="1">
        <f t="array" aca="1" ref="E86" ca="1">_xlfn.IFS(AND(D87&gt;=0,D86&gt;=0),22,AND(D87&gt;0,D86&lt;=0),21,  AND(D87&lt;0,D86&gt;0),12,AND(D87&lt;=0,D86&lt;=0),11)</f>
        <v>21</v>
      </c>
      <c r="F86" s="990">
        <f t="shared" ca="1" si="23"/>
        <v>2221</v>
      </c>
      <c r="G86" s="990">
        <f t="shared" ca="1" si="24"/>
        <v>212222</v>
      </c>
      <c r="H86" s="990" t="str" cm="1">
        <f t="array" aca="1" ref="H86" ca="1">_xlfn.IFS(D86&gt;0,"U",D86&lt;=0,"D",D86=0,"Z")</f>
        <v>D</v>
      </c>
      <c r="I86" s="990" t="str">
        <f t="shared" ca="1" si="25"/>
        <v>UD</v>
      </c>
      <c r="J86" s="990" t="str">
        <f t="shared" ca="1" si="26"/>
        <v>UUD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0.66666666666666663</v>
      </c>
      <c r="Q86" s="1042">
        <f t="shared" ca="1" si="34"/>
        <v>0.33333333333333331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3</v>
      </c>
      <c r="V86" s="990">
        <f t="shared" ca="1" si="16"/>
        <v>8</v>
      </c>
      <c r="W86" s="990">
        <f t="shared" ca="1" si="22"/>
        <v>14</v>
      </c>
      <c r="AK86" s="990" vm="327">
        <f ca="1"/>
        <v>45778</v>
      </c>
      <c r="AL86" s="990" vm="324">
        <f ca="1"/>
        <v>280.52</v>
      </c>
      <c r="AP86" s="990" vm="328">
        <f ca="1"/>
        <v>287.20999999999998</v>
      </c>
    </row>
    <row r="87" spans="2:42" x14ac:dyDescent="0.3">
      <c r="B87" s="990" vm="329">
        <f ca="1"/>
        <v>45791</v>
      </c>
      <c r="C87" s="990" vm="330">
        <f ca="1"/>
        <v>347.68</v>
      </c>
      <c r="D87" s="998">
        <f t="shared" ca="1" si="20"/>
        <v>4.0739964678061527E-2</v>
      </c>
      <c r="E87" s="990" cm="1">
        <f t="array" aca="1" ref="E87" ca="1">_xlfn.IFS(AND(D88&gt;=0,D87&gt;=0),22,AND(D88&gt;0,D87&lt;=0),21,  AND(D88&lt;0,D87&gt;0),12,AND(D88&lt;=0,D87&lt;=0),11)</f>
        <v>22</v>
      </c>
      <c r="F87" s="990">
        <f t="shared" ca="1" si="23"/>
        <v>2222</v>
      </c>
      <c r="G87" s="990">
        <f t="shared" ca="1" si="24"/>
        <v>222222</v>
      </c>
      <c r="H87" s="990" t="str" cm="1">
        <f t="array" aca="1" ref="H87" ca="1">_xlfn.IFS(D87&gt;0,"U",D87&lt;=0,"D",D87=0,"Z")</f>
        <v>U</v>
      </c>
      <c r="I87" s="990" t="str">
        <f t="shared" ca="1" si="25"/>
        <v>UU</v>
      </c>
      <c r="J87" s="990" t="str">
        <f t="shared" ca="1" si="26"/>
        <v>UUU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1</v>
      </c>
      <c r="S87" s="1042">
        <f t="shared" ca="1" si="35"/>
        <v>0</v>
      </c>
      <c r="T87" s="990">
        <f t="shared" ca="1" si="29"/>
        <v>2</v>
      </c>
      <c r="V87" s="990">
        <f t="shared" ca="1" si="16"/>
        <v>7</v>
      </c>
      <c r="W87" s="990">
        <f t="shared" ca="1" si="22"/>
        <v>15</v>
      </c>
      <c r="AK87" s="990" vm="331">
        <f ca="1"/>
        <v>45779</v>
      </c>
      <c r="AL87" s="990" vm="328">
        <f ca="1"/>
        <v>287.20999999999998</v>
      </c>
      <c r="AP87" s="990" vm="332">
        <f ca="1"/>
        <v>280.26</v>
      </c>
    </row>
    <row r="88" spans="2:42" x14ac:dyDescent="0.3">
      <c r="B88" s="990" vm="333">
        <f ca="1"/>
        <v>45790</v>
      </c>
      <c r="C88" s="990" vm="334">
        <f ca="1"/>
        <v>334.07</v>
      </c>
      <c r="D88" s="998">
        <f t="shared" ca="1" si="20"/>
        <v>4.9280733714429294E-2</v>
      </c>
      <c r="E88" s="990" cm="1">
        <f t="array" aca="1" ref="E88" ca="1">_xlfn.IFS(AND(D89&gt;=0,D88&gt;=0),22,AND(D89&gt;0,D88&lt;=0),21,  AND(D89&lt;0,D88&gt;0),12,AND(D89&lt;=0,D88&lt;=0),11)</f>
        <v>22</v>
      </c>
      <c r="F88" s="990">
        <f t="shared" ca="1" si="23"/>
        <v>2222</v>
      </c>
      <c r="G88" s="990">
        <f t="shared" ca="1" si="24"/>
        <v>222222</v>
      </c>
      <c r="H88" s="990" t="str" cm="1">
        <f t="array" aca="1" ref="H88" ca="1">_xlfn.IFS(D88&gt;0,"U",D88&lt;=0,"D",D88=0,"Z")</f>
        <v>U</v>
      </c>
      <c r="I88" s="990" t="str">
        <f t="shared" ca="1" si="25"/>
        <v>UU</v>
      </c>
      <c r="J88" s="990" t="str">
        <f t="shared" ca="1" si="26"/>
        <v>UUU</v>
      </c>
      <c r="V88" s="990">
        <f t="shared" ca="1" si="16"/>
        <v>8</v>
      </c>
      <c r="W88" s="990">
        <f t="shared" ca="1" si="22"/>
        <v>14</v>
      </c>
      <c r="AK88" s="990" vm="335">
        <f ca="1"/>
        <v>45782</v>
      </c>
      <c r="AL88" s="990" vm="332">
        <f ca="1"/>
        <v>280.26</v>
      </c>
      <c r="AP88" s="990" vm="336">
        <f ca="1"/>
        <v>275.35000000000002</v>
      </c>
    </row>
    <row r="89" spans="2:42" x14ac:dyDescent="0.3">
      <c r="B89" s="990" vm="337">
        <f ca="1"/>
        <v>45789</v>
      </c>
      <c r="C89" s="990" vm="338">
        <f ca="1"/>
        <v>318.38</v>
      </c>
      <c r="D89" s="998">
        <f t="shared" ca="1" si="20"/>
        <v>6.7457922617850219E-2</v>
      </c>
      <c r="E89" s="990" cm="1">
        <f t="array" aca="1" ref="E89" ca="1">_xlfn.IFS(AND(D90&gt;=0,D89&gt;=0),22,AND(D90&gt;0,D89&lt;=0),21,  AND(D90&lt;0,D89&gt;0),12,AND(D90&lt;=0,D89&lt;=0),11)</f>
        <v>22</v>
      </c>
      <c r="F89" s="990">
        <f t="shared" ca="1" si="23"/>
        <v>2222</v>
      </c>
      <c r="G89" s="990">
        <f t="shared" ca="1" si="24"/>
        <v>222222</v>
      </c>
      <c r="H89" s="990" t="str" cm="1">
        <f t="array" aca="1" ref="H89" ca="1">_xlfn.IFS(D89&gt;0,"U",D89&lt;=0,"D",D89=0,"Z")</f>
        <v>U</v>
      </c>
      <c r="I89" s="990" t="str">
        <f t="shared" ca="1" si="25"/>
        <v>UU</v>
      </c>
      <c r="J89" s="990" t="str">
        <f t="shared" ca="1" si="26"/>
        <v>UUU</v>
      </c>
      <c r="V89" s="990">
        <f t="shared" ca="1" si="16"/>
        <v>9</v>
      </c>
      <c r="W89" s="990">
        <f t="shared" ca="1" si="22"/>
        <v>13</v>
      </c>
      <c r="AK89" s="990" vm="339">
        <f ca="1"/>
        <v>45783</v>
      </c>
      <c r="AL89" s="990" vm="336">
        <f ca="1"/>
        <v>275.35000000000002</v>
      </c>
      <c r="AP89" s="990" vm="340">
        <f ca="1"/>
        <v>276.22000000000003</v>
      </c>
    </row>
    <row r="90" spans="2:42" x14ac:dyDescent="0.3">
      <c r="B90" s="990" vm="341">
        <f ca="1"/>
        <v>45786</v>
      </c>
      <c r="C90" s="990" vm="342">
        <f ca="1"/>
        <v>298.26</v>
      </c>
      <c r="D90" s="998">
        <f t="shared" ca="1" si="20"/>
        <v>4.7187697493153567E-2</v>
      </c>
      <c r="E90" s="990" cm="1">
        <f t="array" aca="1" ref="E90" ca="1">_xlfn.IFS(AND(D91&gt;=0,D90&gt;=0),22,AND(D91&gt;0,D90&lt;=0),21,  AND(D91&lt;0,D90&gt;0),12,AND(D91&lt;=0,D90&lt;=0),11)</f>
        <v>22</v>
      </c>
      <c r="F90" s="990">
        <f t="shared" ca="1" si="23"/>
        <v>2222</v>
      </c>
      <c r="G90" s="990">
        <f t="shared" ca="1" si="24"/>
        <v>222212</v>
      </c>
      <c r="H90" s="990" t="str" cm="1">
        <f t="array" aca="1" ref="H90" ca="1">_xlfn.IFS(D90&gt;0,"U",D90&lt;=0,"D",D90=0,"Z")</f>
        <v>U</v>
      </c>
      <c r="I90" s="990" t="str">
        <f t="shared" ca="1" si="25"/>
        <v>UU</v>
      </c>
      <c r="J90" s="990" t="str">
        <f t="shared" ca="1" si="26"/>
        <v>UUU</v>
      </c>
      <c r="V90" s="990">
        <f t="shared" ca="1" si="16"/>
        <v>9</v>
      </c>
      <c r="W90" s="990">
        <f t="shared" ca="1" si="22"/>
        <v>13</v>
      </c>
      <c r="AK90" s="990" vm="343">
        <f ca="1"/>
        <v>45784</v>
      </c>
      <c r="AL90" s="990" vm="340">
        <f ca="1"/>
        <v>276.22000000000003</v>
      </c>
      <c r="AP90" s="990" vm="344">
        <f ca="1"/>
        <v>284.82</v>
      </c>
    </row>
    <row r="91" spans="2:42" x14ac:dyDescent="0.3">
      <c r="B91" s="990" vm="345">
        <f ca="1"/>
        <v>45785</v>
      </c>
      <c r="C91" s="990" vm="344">
        <f ca="1"/>
        <v>284.82</v>
      </c>
      <c r="D91" s="998">
        <f t="shared" ca="1" si="20"/>
        <v>3.1134602852798367E-2</v>
      </c>
      <c r="E91" s="990" cm="1">
        <f t="array" aca="1" ref="E91" ca="1">_xlfn.IFS(AND(D92&gt;=0,D91&gt;=0),22,AND(D92&gt;0,D91&lt;=0),21,  AND(D92&lt;0,D91&gt;0),12,AND(D92&lt;=0,D91&lt;=0),11)</f>
        <v>22</v>
      </c>
      <c r="F91" s="990">
        <f t="shared" ca="1" si="23"/>
        <v>1222</v>
      </c>
      <c r="G91" s="990">
        <f t="shared" ca="1" si="24"/>
        <v>221211</v>
      </c>
      <c r="H91" s="990" t="str" cm="1">
        <f t="array" aca="1" ref="H91" ca="1">_xlfn.IFS(D91&gt;0,"U",D91&lt;=0,"D",D91=0,"Z")</f>
        <v>U</v>
      </c>
      <c r="I91" s="990" t="str">
        <f t="shared" ca="1" si="25"/>
        <v>UU</v>
      </c>
      <c r="J91" s="990" t="str">
        <f t="shared" ca="1" si="26"/>
        <v>DUU</v>
      </c>
      <c r="V91" s="990">
        <f t="shared" ca="1" si="16"/>
        <v>10</v>
      </c>
      <c r="W91" s="990">
        <f t="shared" ca="1" si="22"/>
        <v>12</v>
      </c>
      <c r="AK91" s="990" vm="345">
        <f ca="1"/>
        <v>45785</v>
      </c>
      <c r="AL91" s="990" vm="344">
        <f ca="1"/>
        <v>284.82</v>
      </c>
      <c r="AP91" s="990" vm="342">
        <f ca="1"/>
        <v>298.26</v>
      </c>
    </row>
    <row r="92" spans="2:42" x14ac:dyDescent="0.3">
      <c r="B92" s="990" vm="343">
        <f ca="1"/>
        <v>45784</v>
      </c>
      <c r="C92" s="990" vm="340">
        <f ca="1"/>
        <v>276.22000000000003</v>
      </c>
      <c r="D92" s="998">
        <f t="shared" ca="1" si="20"/>
        <v>3.1596150354094949E-3</v>
      </c>
      <c r="E92" s="990" cm="1">
        <f t="array" aca="1" ref="E92" ca="1">_xlfn.IFS(AND(D93&gt;=0,D92&gt;=0),22,AND(D93&gt;0,D92&lt;=0),21,  AND(D93&lt;0,D92&gt;0),12,AND(D93&lt;=0,D92&lt;=0),11)</f>
        <v>12</v>
      </c>
      <c r="F92" s="990">
        <f t="shared" ca="1" si="23"/>
        <v>1112</v>
      </c>
      <c r="G92" s="990">
        <f t="shared" ca="1" si="24"/>
        <v>121121</v>
      </c>
      <c r="H92" s="990" t="str" cm="1">
        <f t="array" aca="1" ref="H92" ca="1">_xlfn.IFS(D92&gt;0,"U",D92&lt;=0,"D",D92=0,"Z")</f>
        <v>U</v>
      </c>
      <c r="I92" s="990" t="str">
        <f t="shared" ca="1" si="25"/>
        <v>DU</v>
      </c>
      <c r="J92" s="990" t="str">
        <f t="shared" ca="1" si="26"/>
        <v>DDU</v>
      </c>
      <c r="V92" s="990">
        <f t="shared" ca="1" si="16"/>
        <v>11</v>
      </c>
      <c r="W92" s="990">
        <f t="shared" ca="1" si="22"/>
        <v>11</v>
      </c>
      <c r="AK92" s="990" vm="341">
        <f ca="1"/>
        <v>45786</v>
      </c>
      <c r="AL92" s="990" vm="342">
        <f ca="1"/>
        <v>298.26</v>
      </c>
      <c r="AP92" s="990" vm="338">
        <f ca="1"/>
        <v>318.38</v>
      </c>
    </row>
    <row r="93" spans="2:42" x14ac:dyDescent="0.3">
      <c r="B93" s="990" vm="339">
        <f ca="1"/>
        <v>45783</v>
      </c>
      <c r="C93" s="990" vm="336">
        <f ca="1"/>
        <v>275.35000000000002</v>
      </c>
      <c r="D93" s="998">
        <f t="shared" ca="1" si="20"/>
        <v>-1.7519446228501993E-2</v>
      </c>
      <c r="E93" s="990" cm="1">
        <f t="array" aca="1" ref="E93" ca="1">_xlfn.IFS(AND(D94&gt;=0,D93&gt;=0),22,AND(D94&gt;0,D93&lt;=0),21,  AND(D94&lt;0,D93&gt;0),12,AND(D94&lt;=0,D93&lt;=0),11)</f>
        <v>11</v>
      </c>
      <c r="F93" s="990">
        <f t="shared" ca="1" si="23"/>
        <v>2111</v>
      </c>
      <c r="G93" s="990">
        <f t="shared" ca="1" si="24"/>
        <v>112112</v>
      </c>
      <c r="H93" s="990" t="str" cm="1">
        <f t="array" aca="1" ref="H93" ca="1">_xlfn.IFS(D93&gt;0,"U",D93&lt;=0,"D",D93=0,"Z")</f>
        <v>D</v>
      </c>
      <c r="I93" s="990" t="str">
        <f t="shared" ca="1" si="25"/>
        <v>DD</v>
      </c>
      <c r="J93" s="990" t="str">
        <f t="shared" ca="1" si="26"/>
        <v>UDD</v>
      </c>
      <c r="V93" s="990">
        <f t="shared" ca="1" si="16"/>
        <v>12</v>
      </c>
      <c r="W93" s="990">
        <f t="shared" ca="1" si="22"/>
        <v>10</v>
      </c>
      <c r="AK93" s="990" vm="337">
        <f ca="1"/>
        <v>45789</v>
      </c>
      <c r="AL93" s="990" vm="338">
        <f ca="1"/>
        <v>318.38</v>
      </c>
      <c r="AP93" s="990" vm="334">
        <f ca="1"/>
        <v>334.07</v>
      </c>
    </row>
    <row r="94" spans="2:42" x14ac:dyDescent="0.3">
      <c r="B94" s="990" vm="335">
        <f ca="1"/>
        <v>45782</v>
      </c>
      <c r="C94" s="990" vm="332">
        <f ca="1"/>
        <v>280.26</v>
      </c>
      <c r="D94" s="998">
        <f t="shared" ca="1" si="20"/>
        <v>-2.4198321785453114E-2</v>
      </c>
      <c r="E94" s="990" cm="1">
        <f t="array" aca="1" ref="E94" ca="1">_xlfn.IFS(AND(D95&gt;=0,D94&gt;=0),22,AND(D95&gt;0,D94&lt;=0),21,  AND(D95&lt;0,D94&gt;0),12,AND(D95&lt;=0,D94&lt;=0),11)</f>
        <v>21</v>
      </c>
      <c r="F94" s="990">
        <f t="shared" ca="1" si="23"/>
        <v>1221</v>
      </c>
      <c r="G94" s="990">
        <f t="shared" ca="1" si="24"/>
        <v>211211</v>
      </c>
      <c r="H94" s="990" t="str" cm="1">
        <f t="array" aca="1" ref="H94" ca="1">_xlfn.IFS(D94&gt;0,"U",D94&lt;=0,"D",D94=0,"Z")</f>
        <v>D</v>
      </c>
      <c r="I94" s="990" t="str">
        <f t="shared" ca="1" si="25"/>
        <v>UD</v>
      </c>
      <c r="J94" s="990" t="str">
        <f t="shared" ca="1" si="26"/>
        <v>DUD</v>
      </c>
      <c r="V94" s="990">
        <f t="shared" ca="1" si="16"/>
        <v>12</v>
      </c>
      <c r="W94" s="990">
        <f t="shared" ca="1" si="22"/>
        <v>10</v>
      </c>
      <c r="AK94" s="990" vm="333">
        <f ca="1"/>
        <v>45790</v>
      </c>
      <c r="AL94" s="990" vm="334">
        <f ca="1"/>
        <v>334.07</v>
      </c>
      <c r="AP94" s="990" vm="330">
        <f ca="1"/>
        <v>347.68</v>
      </c>
    </row>
    <row r="95" spans="2:42" x14ac:dyDescent="0.3">
      <c r="B95" s="990" vm="331">
        <f ca="1"/>
        <v>45779</v>
      </c>
      <c r="C95" s="990" vm="328">
        <f ca="1"/>
        <v>287.20999999999998</v>
      </c>
      <c r="D95" s="998">
        <f t="shared" ca="1" si="20"/>
        <v>2.3848566947098238E-2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121121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11</v>
      </c>
      <c r="W95" s="990">
        <f t="shared" ca="1" si="22"/>
        <v>11</v>
      </c>
      <c r="AK95" s="990" vm="329">
        <f ca="1"/>
        <v>45791</v>
      </c>
      <c r="AL95" s="990" vm="330">
        <f ca="1"/>
        <v>347.68</v>
      </c>
      <c r="AP95" s="990" vm="326">
        <f ca="1"/>
        <v>342.82</v>
      </c>
    </row>
    <row r="96" spans="2:42" x14ac:dyDescent="0.3">
      <c r="B96" s="990" vm="327">
        <f ca="1"/>
        <v>45778</v>
      </c>
      <c r="C96" s="990" vm="324">
        <f ca="1"/>
        <v>280.52</v>
      </c>
      <c r="D96" s="998">
        <f t="shared" ca="1" si="20"/>
        <v>-5.8123050751348283E-3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2111</v>
      </c>
      <c r="G96" s="990">
        <f t="shared" ca="1" si="24"/>
        <v>112122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UDD</v>
      </c>
      <c r="V96" s="990">
        <f t="shared" ca="1" si="16"/>
        <v>11</v>
      </c>
      <c r="W96" s="990">
        <f t="shared" ca="1" si="22"/>
        <v>11</v>
      </c>
      <c r="AK96" s="990" vm="325">
        <f ca="1"/>
        <v>45792</v>
      </c>
      <c r="AL96" s="990" vm="326">
        <f ca="1"/>
        <v>342.82</v>
      </c>
      <c r="AP96" s="990" vm="322">
        <f ca="1"/>
        <v>349.98</v>
      </c>
    </row>
    <row r="97" spans="2:42" x14ac:dyDescent="0.3">
      <c r="B97" s="990" vm="323">
        <f ca="1"/>
        <v>45777</v>
      </c>
      <c r="C97" s="990" vm="320">
        <f ca="1"/>
        <v>282.16000000000003</v>
      </c>
      <c r="D97" s="998">
        <f t="shared" ca="1" si="20"/>
        <v>-3.3797897476286504E-2</v>
      </c>
      <c r="E97" s="990" cm="1">
        <f t="array" aca="1" ref="E97" ca="1">_xlfn.IFS(AND(D98&gt;=0,D97&gt;=0),22,AND(D98&gt;0,D97&lt;=0),21,  AND(D98&lt;0,D97&gt;0),12,AND(D98&lt;=0,D97&lt;=0),11)</f>
        <v>21</v>
      </c>
      <c r="F97" s="990">
        <f t="shared" ca="1" si="23"/>
        <v>2221</v>
      </c>
      <c r="G97" s="990">
        <f t="shared" ca="1" si="24"/>
        <v>212222</v>
      </c>
      <c r="H97" s="990" t="str" cm="1">
        <f t="array" aca="1" ref="H97" ca="1">_xlfn.IFS(D97&gt;0,"U",D97&lt;=0,"D",D97=0,"Z")</f>
        <v>D</v>
      </c>
      <c r="I97" s="990" t="str">
        <f t="shared" ca="1" si="25"/>
        <v>UD</v>
      </c>
      <c r="J97" s="990" t="str">
        <f t="shared" ca="1" si="26"/>
        <v>UUD</v>
      </c>
      <c r="V97" s="990">
        <f t="shared" ca="1" si="16"/>
        <v>11</v>
      </c>
      <c r="W97" s="990">
        <f t="shared" ca="1" si="22"/>
        <v>11</v>
      </c>
      <c r="AK97" s="990" vm="321">
        <f ca="1"/>
        <v>45793</v>
      </c>
      <c r="AL97" s="990" vm="322">
        <f ca="1"/>
        <v>349.98</v>
      </c>
      <c r="AP97" s="990" vm="318">
        <f ca="1"/>
        <v>342.09</v>
      </c>
    </row>
    <row r="98" spans="2:42" x14ac:dyDescent="0.3">
      <c r="B98" s="990" vm="319">
        <f ca="1"/>
        <v>45776</v>
      </c>
      <c r="C98" s="990" vm="316">
        <f ca="1"/>
        <v>292.02999999999997</v>
      </c>
      <c r="D98" s="998">
        <f t="shared" ca="1" si="20"/>
        <v>2.1512522736812568E-2</v>
      </c>
      <c r="E98" s="990" cm="1">
        <f t="array" aca="1" ref="E98" ca="1">_xlfn.IFS(AND(D99&gt;=0,D98&gt;=0),22,AND(D99&gt;0,D98&lt;=0),21,  AND(D99&lt;0,D98&gt;0),12,AND(D99&lt;=0,D98&lt;=0),11)</f>
        <v>22</v>
      </c>
      <c r="F98" s="990">
        <f t="shared" ca="1" si="23"/>
        <v>2222</v>
      </c>
      <c r="G98" s="990">
        <f t="shared" ca="1" si="24"/>
        <v>222222</v>
      </c>
      <c r="H98" s="990" t="str" cm="1">
        <f t="array" aca="1" ref="H98" ca="1">_xlfn.IFS(D98&gt;0,"U",D98&lt;=0,"D",D98=0,"Z")</f>
        <v>U</v>
      </c>
      <c r="I98" s="990" t="str">
        <f t="shared" ca="1" si="25"/>
        <v>UU</v>
      </c>
      <c r="J98" s="990" t="str">
        <f t="shared" ca="1" si="26"/>
        <v>UUU</v>
      </c>
      <c r="V98" s="990">
        <f t="shared" ca="1" si="16"/>
        <v>11</v>
      </c>
      <c r="W98" s="990">
        <f t="shared" ca="1" si="22"/>
        <v>11</v>
      </c>
      <c r="AK98" s="990" vm="317">
        <f ca="1"/>
        <v>45796</v>
      </c>
      <c r="AL98" s="990" vm="318">
        <f ca="1"/>
        <v>342.09</v>
      </c>
      <c r="AP98" s="990" vm="314">
        <f ca="1"/>
        <v>343.82</v>
      </c>
    </row>
    <row r="99" spans="2:42" x14ac:dyDescent="0.3">
      <c r="B99" s="990" vm="315">
        <f ca="1"/>
        <v>45775</v>
      </c>
      <c r="C99" s="990" vm="312">
        <f ca="1"/>
        <v>285.88</v>
      </c>
      <c r="D99" s="998">
        <f t="shared" ca="1" si="20"/>
        <v>3.2637304790314333E-3</v>
      </c>
      <c r="E99" s="990" cm="1">
        <f t="array" aca="1" ref="E99" ca="1">_xlfn.IFS(AND(D100&gt;=0,D99&gt;=0),22,AND(D100&gt;0,D99&lt;=0),21,  AND(D100&lt;0,D99&gt;0),12,AND(D100&lt;=0,D99&lt;=0),11)</f>
        <v>22</v>
      </c>
      <c r="F99" s="990">
        <f t="shared" ca="1" si="23"/>
        <v>2222</v>
      </c>
      <c r="G99" s="990">
        <f t="shared" ca="1" si="24"/>
        <v>222222</v>
      </c>
      <c r="H99" s="990" t="str" cm="1">
        <f t="array" aca="1" ref="H99" ca="1">_xlfn.IFS(D99&gt;0,"U",D99&lt;=0,"D",D99=0,"Z")</f>
        <v>U</v>
      </c>
      <c r="I99" s="990" t="str">
        <f t="shared" ca="1" si="25"/>
        <v>UU</v>
      </c>
      <c r="J99" s="990" t="str">
        <f t="shared" ca="1" si="26"/>
        <v>UUU</v>
      </c>
      <c r="V99" s="990">
        <f t="shared" ca="1" si="16"/>
        <v>11</v>
      </c>
      <c r="W99" s="990">
        <f t="shared" ca="1" si="22"/>
        <v>11</v>
      </c>
      <c r="AK99" s="990" vm="313">
        <f ca="1"/>
        <v>45797</v>
      </c>
      <c r="AL99" s="990" vm="314">
        <f ca="1"/>
        <v>343.82</v>
      </c>
      <c r="AP99" s="990" vm="310">
        <f ca="1"/>
        <v>334.62</v>
      </c>
    </row>
    <row r="100" spans="2:42" x14ac:dyDescent="0.3">
      <c r="B100" s="990" vm="311">
        <f ca="1"/>
        <v>45772</v>
      </c>
      <c r="C100" s="990" vm="308">
        <f ca="1"/>
        <v>284.95</v>
      </c>
      <c r="D100" s="998">
        <f t="shared" ca="1" si="20"/>
        <v>9.8030904396747706E-2</v>
      </c>
      <c r="E100" s="990" cm="1">
        <f t="array" aca="1" ref="E100" ca="1">_xlfn.IFS(AND(D101&gt;=0,D100&gt;=0),22,AND(D101&gt;0,D100&lt;=0),21,  AND(D101&lt;0,D100&gt;0),12,AND(D101&lt;=0,D100&lt;=0),11)</f>
        <v>22</v>
      </c>
      <c r="F100" s="990">
        <f t="shared" ca="1" si="23"/>
        <v>2222</v>
      </c>
      <c r="G100" s="990">
        <f t="shared" ca="1" si="24"/>
        <v>222222</v>
      </c>
      <c r="H100" s="990" t="str" cm="1">
        <f t="array" aca="1" ref="H100" ca="1">_xlfn.IFS(D100&gt;0,"U",D100&lt;=0,"D",D100=0,"Z")</f>
        <v>U</v>
      </c>
      <c r="I100" s="990" t="str">
        <f t="shared" ca="1" si="25"/>
        <v>UU</v>
      </c>
      <c r="J100" s="990" t="str">
        <f t="shared" ca="1" si="26"/>
        <v>UUU</v>
      </c>
      <c r="V100" s="990">
        <f t="shared" ca="1" si="16"/>
        <v>12</v>
      </c>
      <c r="W100" s="990">
        <f t="shared" ca="1" si="22"/>
        <v>10</v>
      </c>
      <c r="AK100" s="990" vm="309">
        <f ca="1"/>
        <v>45798</v>
      </c>
      <c r="AL100" s="990" vm="310">
        <f ca="1"/>
        <v>334.62</v>
      </c>
      <c r="AP100" s="990" vm="306">
        <f ca="1"/>
        <v>341.04</v>
      </c>
    </row>
    <row r="101" spans="2:42" x14ac:dyDescent="0.3">
      <c r="B101" s="990" vm="307">
        <f ca="1"/>
        <v>45771</v>
      </c>
      <c r="C101" s="990" vm="304">
        <f ca="1"/>
        <v>259.51</v>
      </c>
      <c r="D101" s="998">
        <f t="shared" ca="1" si="20"/>
        <v>3.497646964983641E-2</v>
      </c>
      <c r="E101" s="990" cm="1">
        <f t="array" aca="1" ref="E101" ca="1">_xlfn.IFS(AND(D102&gt;=0,D101&gt;=0),22,AND(D102&gt;0,D101&lt;=0),21,  AND(D102&lt;0,D101&gt;0),12,AND(D102&lt;=0,D101&lt;=0),11)</f>
        <v>22</v>
      </c>
      <c r="F101" s="990">
        <f t="shared" ca="1" si="23"/>
        <v>2222</v>
      </c>
      <c r="G101" s="990">
        <f t="shared" ca="1" si="24"/>
        <v>222212</v>
      </c>
      <c r="H101" s="990" t="str" cm="1">
        <f t="array" aca="1" ref="H101" ca="1">_xlfn.IFS(D101&gt;0,"U",D101&lt;=0,"D",D101=0,"Z")</f>
        <v>U</v>
      </c>
      <c r="I101" s="990" t="str">
        <f t="shared" ca="1" si="25"/>
        <v>UU</v>
      </c>
      <c r="J101" s="990" t="str">
        <f t="shared" ca="1" si="26"/>
        <v>UUU</v>
      </c>
      <c r="V101" s="990">
        <f t="shared" ca="1" si="16"/>
        <v>12</v>
      </c>
      <c r="W101" s="990">
        <f t="shared" ca="1" si="22"/>
        <v>10</v>
      </c>
      <c r="AK101" s="990" vm="305">
        <f ca="1"/>
        <v>45799</v>
      </c>
      <c r="AL101" s="990" vm="306">
        <f ca="1"/>
        <v>341.04</v>
      </c>
      <c r="AP101" s="990" vm="302">
        <f ca="1"/>
        <v>339.34</v>
      </c>
    </row>
    <row r="102" spans="2:42" x14ac:dyDescent="0.3">
      <c r="B102" s="990" vm="303">
        <f ca="1"/>
        <v>45770</v>
      </c>
      <c r="C102" s="990" vm="300">
        <f ca="1"/>
        <v>250.74</v>
      </c>
      <c r="D102" s="998">
        <f t="shared" ca="1" si="20"/>
        <v>5.3662226331050174E-2</v>
      </c>
      <c r="E102" s="990" cm="1">
        <f t="array" aca="1" ref="E102" ca="1">_xlfn.IFS(AND(D103&gt;=0,D102&gt;=0),22,AND(D103&gt;0,D102&lt;=0),21,  AND(D103&lt;0,D102&gt;0),12,AND(D103&lt;=0,D102&lt;=0),11)</f>
        <v>22</v>
      </c>
      <c r="F102" s="990">
        <f t="shared" ca="1" si="23"/>
        <v>1222</v>
      </c>
      <c r="G102" s="990">
        <f t="shared" ca="1" si="24"/>
        <v>221211</v>
      </c>
      <c r="H102" s="990" t="str" cm="1">
        <f t="array" aca="1" ref="H102" ca="1">_xlfn.IFS(D102&gt;0,"U",D102&lt;=0,"D",D102=0,"Z")</f>
        <v>U</v>
      </c>
      <c r="I102" s="990" t="str">
        <f t="shared" ca="1" si="25"/>
        <v>UU</v>
      </c>
      <c r="J102" s="990" t="str">
        <f t="shared" ca="1" si="26"/>
        <v>DUU</v>
      </c>
      <c r="V102" s="990">
        <f t="shared" ca="1" si="16"/>
        <v>12</v>
      </c>
      <c r="W102" s="990">
        <f t="shared" ca="1" si="22"/>
        <v>10</v>
      </c>
      <c r="AK102" s="990" vm="301">
        <f ca="1"/>
        <v>45800</v>
      </c>
      <c r="AL102" s="990" vm="302">
        <f ca="1"/>
        <v>339.34</v>
      </c>
      <c r="AP102" s="990" vm="298">
        <f ca="1"/>
        <v>362.89</v>
      </c>
    </row>
    <row r="103" spans="2:42" x14ac:dyDescent="0.3">
      <c r="B103" s="990" vm="299">
        <f ca="1"/>
        <v>45769</v>
      </c>
      <c r="C103" s="990" vm="296">
        <f ca="1"/>
        <v>237.97</v>
      </c>
      <c r="D103" s="998">
        <f t="shared" ca="1" si="20"/>
        <v>4.6021978021978015E-2</v>
      </c>
      <c r="E103" s="990" cm="1">
        <f t="array" aca="1" ref="E103" ca="1">_xlfn.IFS(AND(D104&gt;=0,D103&gt;=0),22,AND(D104&gt;0,D103&lt;=0),21,  AND(D104&lt;0,D103&gt;0),12,AND(D104&lt;=0,D103&lt;=0),11)</f>
        <v>12</v>
      </c>
      <c r="F103" s="990">
        <f t="shared" ca="1" si="23"/>
        <v>1112</v>
      </c>
      <c r="G103" s="990">
        <f t="shared" ca="1" si="24"/>
        <v>121111</v>
      </c>
      <c r="H103" s="990" t="str" cm="1">
        <f t="array" aca="1" ref="H103" ca="1">_xlfn.IFS(D103&gt;0,"U",D103&lt;=0,"D",D103=0,"Z")</f>
        <v>U</v>
      </c>
      <c r="I103" s="990" t="str">
        <f t="shared" ca="1" si="25"/>
        <v>DU</v>
      </c>
      <c r="J103" s="990" t="str">
        <f t="shared" ca="1" si="26"/>
        <v>DDU</v>
      </c>
      <c r="V103" s="990">
        <f t="shared" ca="1" si="16"/>
        <v>12</v>
      </c>
      <c r="W103" s="990">
        <f t="shared" ca="1" si="22"/>
        <v>10</v>
      </c>
      <c r="AK103" s="990" vm="297">
        <f ca="1"/>
        <v>45804</v>
      </c>
      <c r="AL103" s="990" vm="298">
        <f ca="1"/>
        <v>362.89</v>
      </c>
      <c r="AP103" s="990" vm="294">
        <f ca="1"/>
        <v>356.9</v>
      </c>
    </row>
    <row r="104" spans="2:42" x14ac:dyDescent="0.3">
      <c r="B104" s="990" vm="295">
        <f ca="1"/>
        <v>45768</v>
      </c>
      <c r="C104" s="990" vm="292">
        <f ca="1"/>
        <v>227.5</v>
      </c>
      <c r="D104" s="998">
        <f t="shared" ca="1" si="20"/>
        <v>-5.7463645026308179E-2</v>
      </c>
      <c r="E104" s="990" cm="1">
        <f t="array" aca="1" ref="E104" ca="1">_xlfn.IFS(AND(D105&gt;=0,D104&gt;=0),22,AND(D105&gt;0,D104&lt;=0),21,  AND(D105&lt;0,D104&gt;0),12,AND(D105&lt;=0,D104&lt;=0),11)</f>
        <v>11</v>
      </c>
      <c r="F104" s="990">
        <f t="shared" ca="1" si="23"/>
        <v>1111</v>
      </c>
      <c r="G104" s="990">
        <f t="shared" ca="1" si="24"/>
        <v>111121</v>
      </c>
      <c r="H104" s="990" t="str" cm="1">
        <f t="array" aca="1" ref="H104" ca="1">_xlfn.IFS(D104&gt;0,"U",D104&lt;=0,"D",D104=0,"Z")</f>
        <v>D</v>
      </c>
      <c r="I104" s="990" t="str">
        <f t="shared" ca="1" si="25"/>
        <v>DD</v>
      </c>
      <c r="J104" s="990" t="str">
        <f t="shared" ca="1" si="26"/>
        <v>DDD</v>
      </c>
      <c r="V104" s="990">
        <f t="shared" ca="1" si="16"/>
        <v>12</v>
      </c>
      <c r="W104" s="990">
        <f t="shared" ca="1" si="22"/>
        <v>10</v>
      </c>
      <c r="AK104" s="990" vm="293">
        <f ca="1"/>
        <v>45805</v>
      </c>
      <c r="AL104" s="990" vm="294">
        <f ca="1"/>
        <v>356.9</v>
      </c>
      <c r="AP104" s="990" vm="290">
        <f ca="1"/>
        <v>358.43</v>
      </c>
    </row>
    <row r="105" spans="2:42" x14ac:dyDescent="0.3">
      <c r="B105" s="990" vm="291">
        <f ca="1"/>
        <v>45764</v>
      </c>
      <c r="C105" s="990" vm="288">
        <f ca="1"/>
        <v>241.37</v>
      </c>
      <c r="D105" s="998">
        <f t="shared" ca="1" si="20"/>
        <v>-7.4518733181538736E-4</v>
      </c>
      <c r="E105" s="990" cm="1">
        <f t="array" aca="1" ref="E105" ca="1">_xlfn.IFS(AND(D106&gt;=0,D105&gt;=0),22,AND(D106&gt;0,D105&lt;=0),21,  AND(D106&lt;0,D105&gt;0),12,AND(D106&lt;=0,D105&lt;=0),11)</f>
        <v>11</v>
      </c>
      <c r="F105" s="990">
        <f t="shared" ca="1" si="23"/>
        <v>2111</v>
      </c>
      <c r="G105" s="990">
        <f t="shared" ca="1" si="24"/>
        <v>112122</v>
      </c>
      <c r="H105" s="990" t="str" cm="1">
        <f t="array" aca="1" ref="H105" ca="1">_xlfn.IFS(D105&gt;0,"U",D105&lt;=0,"D",D105=0,"Z")</f>
        <v>D</v>
      </c>
      <c r="I105" s="990" t="str">
        <f t="shared" ca="1" si="25"/>
        <v>DD</v>
      </c>
      <c r="J105" s="990" t="str">
        <f t="shared" ca="1" si="26"/>
        <v>UDD</v>
      </c>
      <c r="V105" s="990">
        <f t="shared" ca="1" si="16"/>
        <v>11</v>
      </c>
      <c r="W105" s="990">
        <f t="shared" ca="1" si="22"/>
        <v>11</v>
      </c>
      <c r="AK105" s="990" vm="289">
        <f ca="1"/>
        <v>45806</v>
      </c>
      <c r="AL105" s="990" vm="290">
        <f ca="1"/>
        <v>358.43</v>
      </c>
      <c r="AP105" s="990" vm="286">
        <f ca="1"/>
        <v>346.46</v>
      </c>
    </row>
    <row r="106" spans="2:42" x14ac:dyDescent="0.3">
      <c r="B106" s="990" vm="287">
        <f ca="1"/>
        <v>45763</v>
      </c>
      <c r="C106" s="990" vm="284">
        <f ca="1"/>
        <v>241.55</v>
      </c>
      <c r="D106" s="998">
        <f t="shared" ca="1" si="20"/>
        <v>-4.9427413324938024E-2</v>
      </c>
      <c r="E106" s="990" cm="1">
        <f t="array" aca="1" ref="E106" ca="1">_xlfn.IFS(AND(D107&gt;=0,D106&gt;=0),22,AND(D107&gt;0,D106&lt;=0),21,  AND(D107&lt;0,D106&gt;0),12,AND(D107&lt;=0,D106&lt;=0),11)</f>
        <v>21</v>
      </c>
      <c r="F106" s="990">
        <f t="shared" ca="1" si="23"/>
        <v>2221</v>
      </c>
      <c r="G106" s="990">
        <f t="shared" ca="1" si="24"/>
        <v>212212</v>
      </c>
      <c r="H106" s="990" t="str" cm="1">
        <f t="array" aca="1" ref="H106" ca="1">_xlfn.IFS(D106&gt;0,"U",D106&lt;=0,"D",D106=0,"Z")</f>
        <v>D</v>
      </c>
      <c r="I106" s="990" t="str">
        <f t="shared" ca="1" si="25"/>
        <v>UD</v>
      </c>
      <c r="J106" s="990" t="str">
        <f t="shared" ca="1" si="26"/>
        <v>UUD</v>
      </c>
      <c r="V106" s="990">
        <f t="shared" ca="1" si="16"/>
        <v>11</v>
      </c>
      <c r="W106" s="990">
        <f t="shared" ca="1" si="22"/>
        <v>11</v>
      </c>
      <c r="AK106" s="990" vm="285">
        <f ca="1"/>
        <v>45807</v>
      </c>
      <c r="AL106" s="990" vm="286">
        <f ca="1"/>
        <v>346.46</v>
      </c>
      <c r="AP106" s="990" vm="282">
        <f ca="1"/>
        <v>342.69</v>
      </c>
    </row>
    <row r="107" spans="2:42" x14ac:dyDescent="0.3">
      <c r="B107" s="990" vm="283">
        <f ca="1"/>
        <v>45762</v>
      </c>
      <c r="C107" s="990" vm="280">
        <f ca="1"/>
        <v>254.11</v>
      </c>
      <c r="D107" s="998">
        <f t="shared" ca="1" si="20"/>
        <v>6.9744402615415863E-3</v>
      </c>
      <c r="E107" s="990" cm="1">
        <f t="array" aca="1" ref="E107" ca="1">_xlfn.IFS(AND(D108&gt;=0,D107&gt;=0),22,AND(D108&gt;0,D107&lt;=0),21,  AND(D108&lt;0,D107&gt;0),12,AND(D108&lt;=0,D107&lt;=0),11)</f>
        <v>22</v>
      </c>
      <c r="F107" s="990">
        <f t="shared" ca="1" si="23"/>
        <v>1222</v>
      </c>
      <c r="G107" s="990">
        <f t="shared" ca="1" si="24"/>
        <v>221211</v>
      </c>
      <c r="H107" s="990" t="str" cm="1">
        <f t="array" aca="1" ref="H107" ca="1">_xlfn.IFS(D107&gt;0,"U",D107&lt;=0,"D",D107=0,"Z")</f>
        <v>U</v>
      </c>
      <c r="I107" s="990" t="str">
        <f t="shared" ca="1" si="25"/>
        <v>UU</v>
      </c>
      <c r="J107" s="990" t="str">
        <f t="shared" ca="1" si="26"/>
        <v>DUU</v>
      </c>
      <c r="V107" s="990">
        <f t="shared" ca="1" si="16"/>
        <v>11</v>
      </c>
      <c r="W107" s="990">
        <f t="shared" ca="1" si="22"/>
        <v>11</v>
      </c>
      <c r="AK107" s="990" vm="281">
        <f ca="1"/>
        <v>45810</v>
      </c>
      <c r="AL107" s="990" vm="282">
        <f ca="1"/>
        <v>342.69</v>
      </c>
      <c r="AP107" s="990" vm="278">
        <f ca="1"/>
        <v>344.27</v>
      </c>
    </row>
    <row r="108" spans="2:42" x14ac:dyDescent="0.3">
      <c r="B108" s="990" vm="279">
        <f ca="1"/>
        <v>45761</v>
      </c>
      <c r="C108" s="990" vm="276">
        <f ca="1"/>
        <v>252.35</v>
      </c>
      <c r="D108" s="998">
        <f t="shared" ca="1" si="20"/>
        <v>1.5853513534934026E-4</v>
      </c>
      <c r="E108" s="990" cm="1">
        <f t="array" aca="1" ref="E108" ca="1">_xlfn.IFS(AND(D109&gt;=0,D108&gt;=0),22,AND(D109&gt;0,D108&lt;=0),21,  AND(D109&lt;0,D108&gt;0),12,AND(D109&lt;=0,D108&lt;=0),11)</f>
        <v>12</v>
      </c>
      <c r="F108" s="990">
        <f t="shared" ca="1" si="23"/>
        <v>1112</v>
      </c>
      <c r="G108" s="990">
        <f t="shared" ca="1" si="24"/>
        <v>121121</v>
      </c>
      <c r="H108" s="990" t="str" cm="1">
        <f t="array" aca="1" ref="H108" ca="1">_xlfn.IFS(D108&gt;0,"U",D108&lt;=0,"D",D108=0,"Z")</f>
        <v>U</v>
      </c>
      <c r="I108" s="990" t="str">
        <f t="shared" ca="1" si="25"/>
        <v>DU</v>
      </c>
      <c r="J108" s="990" t="str">
        <f t="shared" ca="1" si="26"/>
        <v>DDU</v>
      </c>
      <c r="V108" s="990">
        <f t="shared" ca="1" si="16"/>
        <v>11</v>
      </c>
      <c r="W108" s="990">
        <f t="shared" ca="1" si="22"/>
        <v>11</v>
      </c>
      <c r="AK108" s="990" vm="277">
        <f ca="1"/>
        <v>45811</v>
      </c>
      <c r="AL108" s="990" vm="278">
        <f ca="1"/>
        <v>344.27</v>
      </c>
      <c r="AP108" s="990" vm="274">
        <f ca="1"/>
        <v>332.05</v>
      </c>
    </row>
    <row r="109" spans="2:42" x14ac:dyDescent="0.3">
      <c r="B109" s="990" vm="275">
        <f ca="1"/>
        <v>45758</v>
      </c>
      <c r="C109" s="990" vm="272">
        <f ca="1"/>
        <v>252.31</v>
      </c>
      <c r="D109" s="998">
        <f t="shared" ca="1" si="20"/>
        <v>-3.5657686212362682E-4</v>
      </c>
      <c r="E109" s="990" cm="1">
        <f t="array" aca="1" ref="E109" ca="1">_xlfn.IFS(AND(D110&gt;=0,D109&gt;=0),22,AND(D110&gt;0,D109&lt;=0),21,  AND(D110&lt;0,D109&gt;0),12,AND(D110&lt;=0,D109&lt;=0),11)</f>
        <v>11</v>
      </c>
      <c r="F109" s="990">
        <f t="shared" ca="1" si="23"/>
        <v>2111</v>
      </c>
      <c r="G109" s="990">
        <f t="shared" ca="1" si="24"/>
        <v>112112</v>
      </c>
      <c r="H109" s="990" t="str" cm="1">
        <f t="array" aca="1" ref="H109" ca="1">_xlfn.IFS(D109&gt;0,"U",D109&lt;=0,"D",D109=0,"Z")</f>
        <v>D</v>
      </c>
      <c r="I109" s="990" t="str">
        <f t="shared" ca="1" si="25"/>
        <v>DD</v>
      </c>
      <c r="J109" s="990" t="str">
        <f t="shared" ca="1" si="26"/>
        <v>UDD</v>
      </c>
      <c r="V109" s="990">
        <f t="shared" ca="1" si="16"/>
        <v>12</v>
      </c>
      <c r="W109" s="990">
        <f t="shared" ca="1" si="22"/>
        <v>10</v>
      </c>
      <c r="AK109" s="990" vm="273">
        <f ca="1"/>
        <v>45812</v>
      </c>
      <c r="AL109" s="990" vm="274">
        <f ca="1"/>
        <v>332.05</v>
      </c>
      <c r="AP109" s="990" vm="270">
        <f ca="1"/>
        <v>284.7</v>
      </c>
    </row>
    <row r="110" spans="2:42" x14ac:dyDescent="0.3">
      <c r="B110" s="990" vm="271">
        <f ca="1"/>
        <v>45757</v>
      </c>
      <c r="C110" s="990" vm="268">
        <f ca="1"/>
        <v>252.4</v>
      </c>
      <c r="D110" s="998">
        <f t="shared" ca="1" si="20"/>
        <v>-7.274063188831735E-2</v>
      </c>
      <c r="E110" s="990" cm="1">
        <f t="array" aca="1" ref="E110" ca="1">_xlfn.IFS(AND(D111&gt;=0,D110&gt;=0),22,AND(D111&gt;0,D110&lt;=0),21,  AND(D111&lt;0,D110&gt;0),12,AND(D111&lt;=0,D110&lt;=0),11)</f>
        <v>21</v>
      </c>
      <c r="F110" s="990">
        <f t="shared" ca="1" si="23"/>
        <v>1221</v>
      </c>
      <c r="G110" s="990">
        <f t="shared" ca="1" si="24"/>
        <v>211211</v>
      </c>
      <c r="H110" s="990" t="str" cm="1">
        <f t="array" aca="1" ref="H110" ca="1">_xlfn.IFS(D110&gt;0,"U",D110&lt;=0,"D",D110=0,"Z")</f>
        <v>D</v>
      </c>
      <c r="I110" s="990" t="str">
        <f t="shared" ca="1" si="25"/>
        <v>UD</v>
      </c>
      <c r="J110" s="990" t="str">
        <f t="shared" ca="1" si="26"/>
        <v>DUD</v>
      </c>
      <c r="V110" s="990">
        <f t="shared" ca="1" si="16"/>
        <v>11</v>
      </c>
      <c r="W110" s="990">
        <f t="shared" ca="1" si="22"/>
        <v>11</v>
      </c>
      <c r="AK110" s="990" vm="269">
        <f ca="1"/>
        <v>45813</v>
      </c>
      <c r="AL110" s="990" vm="270">
        <f ca="1"/>
        <v>284.7</v>
      </c>
      <c r="AP110" s="990" vm="266">
        <f ca="1"/>
        <v>295.14</v>
      </c>
    </row>
    <row r="111" spans="2:42" x14ac:dyDescent="0.3">
      <c r="B111" s="990" vm="267">
        <f ca="1"/>
        <v>45756</v>
      </c>
      <c r="C111" s="990" vm="264">
        <f ca="1"/>
        <v>272.2</v>
      </c>
      <c r="D111" s="998">
        <f t="shared" ca="1" si="20"/>
        <v>0.22689984675020269</v>
      </c>
      <c r="E111" s="990" cm="1">
        <f t="array" aca="1" ref="E111" ca="1">_xlfn.IFS(AND(D112&gt;=0,D111&gt;=0),22,AND(D112&gt;0,D111&lt;=0),21,  AND(D112&lt;0,D111&gt;0),12,AND(D112&lt;=0,D111&lt;=0),11)</f>
        <v>12</v>
      </c>
      <c r="F111" s="990">
        <f t="shared" ca="1" si="23"/>
        <v>1112</v>
      </c>
      <c r="G111" s="990">
        <f t="shared" ca="1" si="24"/>
        <v>121111</v>
      </c>
      <c r="H111" s="990" t="str" cm="1">
        <f t="array" aca="1" ref="H111" ca="1">_xlfn.IFS(D111&gt;0,"U",D111&lt;=0,"D",D111=0,"Z")</f>
        <v>U</v>
      </c>
      <c r="I111" s="990" t="str">
        <f t="shared" ca="1" si="25"/>
        <v>DU</v>
      </c>
      <c r="J111" s="990" t="str">
        <f t="shared" ca="1" si="26"/>
        <v>DDU</v>
      </c>
      <c r="V111" s="990">
        <f t="shared" ca="1" si="16"/>
        <v>10</v>
      </c>
      <c r="W111" s="990">
        <f t="shared" ca="1" si="22"/>
        <v>12</v>
      </c>
      <c r="AK111" s="990" vm="265">
        <f ca="1"/>
        <v>45814</v>
      </c>
      <c r="AL111" s="990" vm="266">
        <f ca="1"/>
        <v>295.14</v>
      </c>
      <c r="AP111" s="990" vm="262">
        <f ca="1"/>
        <v>308.58</v>
      </c>
    </row>
    <row r="112" spans="2:42" x14ac:dyDescent="0.3">
      <c r="B112" s="990" vm="263">
        <f ca="1"/>
        <v>45755</v>
      </c>
      <c r="C112" s="990" vm="260">
        <f ca="1"/>
        <v>221.86</v>
      </c>
      <c r="D112" s="998">
        <f t="shared" ca="1" si="20"/>
        <v>-4.899481332247408E-2</v>
      </c>
      <c r="E112" s="990" cm="1">
        <f t="array" aca="1" ref="E112" ca="1">_xlfn.IFS(AND(D113&gt;=0,D112&gt;=0),22,AND(D113&gt;0,D112&lt;=0),21,  AND(D113&lt;0,D112&gt;0),12,AND(D113&lt;=0,D112&lt;=0),11)</f>
        <v>11</v>
      </c>
      <c r="F112" s="990">
        <f t="shared" ca="1" si="23"/>
        <v>1111</v>
      </c>
      <c r="G112" s="990">
        <f t="shared" ca="1" si="24"/>
        <v>111111</v>
      </c>
      <c r="H112" s="990" t="str" cm="1">
        <f t="array" aca="1" ref="H112" ca="1">_xlfn.IFS(D112&gt;0,"U",D112&lt;=0,"D",D112=0,"Z")</f>
        <v>D</v>
      </c>
      <c r="I112" s="990" t="str">
        <f t="shared" ca="1" si="25"/>
        <v>DD</v>
      </c>
      <c r="J112" s="990" t="str">
        <f t="shared" ca="1" si="26"/>
        <v>DDD</v>
      </c>
      <c r="V112" s="990">
        <f t="shared" ca="1" si="16"/>
        <v>11</v>
      </c>
      <c r="W112" s="990">
        <f t="shared" ca="1" si="22"/>
        <v>11</v>
      </c>
      <c r="AK112" s="990" vm="261">
        <f ca="1"/>
        <v>45817</v>
      </c>
      <c r="AL112" s="990" vm="262">
        <f ca="1"/>
        <v>308.58</v>
      </c>
      <c r="AP112" s="990" vm="258">
        <f ca="1"/>
        <v>326.08999999999997</v>
      </c>
    </row>
    <row r="113" spans="2:42" x14ac:dyDescent="0.3">
      <c r="B113" s="990" vm="259">
        <f ca="1"/>
        <v>45754</v>
      </c>
      <c r="C113" s="990" vm="256">
        <f ca="1"/>
        <v>233.29</v>
      </c>
      <c r="D113" s="998">
        <f t="shared" ca="1" si="20"/>
        <v>-2.5644238399532282E-2</v>
      </c>
      <c r="E113" s="990" cm="1">
        <f t="array" aca="1" ref="E113" ca="1">_xlfn.IFS(AND(D114&gt;=0,D113&gt;=0),22,AND(D114&gt;0,D113&lt;=0),21,  AND(D114&lt;0,D113&gt;0),12,AND(D114&lt;=0,D113&lt;=0),11)</f>
        <v>11</v>
      </c>
      <c r="F113" s="990">
        <f t="shared" ca="1" si="23"/>
        <v>1111</v>
      </c>
      <c r="G113" s="990">
        <f t="shared" ca="1" si="24"/>
        <v>111121</v>
      </c>
      <c r="H113" s="990" t="str" cm="1">
        <f t="array" aca="1" ref="H113" ca="1">_xlfn.IFS(D113&gt;0,"U",D113&lt;=0,"D",D113=0,"Z")</f>
        <v>D</v>
      </c>
      <c r="I113" s="990" t="str">
        <f t="shared" ca="1" si="25"/>
        <v>DD</v>
      </c>
      <c r="J113" s="990" t="str">
        <f t="shared" ca="1" si="26"/>
        <v>DDD</v>
      </c>
      <c r="V113" s="990">
        <f t="shared" ca="1" si="16"/>
        <v>11</v>
      </c>
      <c r="W113" s="990">
        <f t="shared" ca="1" si="22"/>
        <v>11</v>
      </c>
      <c r="AK113" s="990" vm="257">
        <f ca="1"/>
        <v>45818</v>
      </c>
      <c r="AL113" s="990" vm="258">
        <f ca="1"/>
        <v>326.08999999999997</v>
      </c>
      <c r="AP113" s="990" vm="254">
        <f ca="1"/>
        <v>326.43</v>
      </c>
    </row>
    <row r="114" spans="2:42" x14ac:dyDescent="0.3">
      <c r="B114" s="990" vm="255">
        <f ca="1"/>
        <v>45751</v>
      </c>
      <c r="C114" s="990" vm="252">
        <f ca="1"/>
        <v>239.43</v>
      </c>
      <c r="D114" s="998">
        <f t="shared" ca="1" si="20"/>
        <v>-0.1041978449565997</v>
      </c>
      <c r="E114" s="990" cm="1">
        <f t="array" aca="1" ref="E114" ca="1">_xlfn.IFS(AND(D115&gt;=0,D114&gt;=0),22,AND(D115&gt;0,D114&lt;=0),21,  AND(D115&lt;0,D114&gt;0),12,AND(D115&lt;=0,D114&lt;=0),11)</f>
        <v>11</v>
      </c>
      <c r="F114" s="990">
        <f t="shared" ca="1" si="23"/>
        <v>2111</v>
      </c>
      <c r="G114" s="990">
        <f t="shared" ca="1" si="24"/>
        <v>112122</v>
      </c>
      <c r="H114" s="990" t="str" cm="1">
        <f t="array" aca="1" ref="H114" ca="1">_xlfn.IFS(D114&gt;0,"U",D114&lt;=0,"D",D114=0,"Z")</f>
        <v>D</v>
      </c>
      <c r="I114" s="990" t="str">
        <f t="shared" ca="1" si="25"/>
        <v>DD</v>
      </c>
      <c r="J114" s="990" t="str">
        <f t="shared" ca="1" si="26"/>
        <v>UDD</v>
      </c>
      <c r="V114" s="990">
        <f t="shared" ref="V114:V126" ca="1" si="36">COUNTIF(D114:D135,"&lt;0")</f>
        <v>11</v>
      </c>
      <c r="W114" s="990">
        <f t="shared" ca="1" si="22"/>
        <v>11</v>
      </c>
      <c r="AK114" s="990" vm="253">
        <f ca="1"/>
        <v>45819</v>
      </c>
      <c r="AL114" s="990" vm="254">
        <f ca="1"/>
        <v>326.43</v>
      </c>
      <c r="AP114" s="990" vm="250">
        <f ca="1"/>
        <v>319.11</v>
      </c>
    </row>
    <row r="115" spans="2:42" x14ac:dyDescent="0.3">
      <c r="B115" s="990" vm="251">
        <f ca="1"/>
        <v>45750</v>
      </c>
      <c r="C115" s="990" vm="248">
        <f ca="1"/>
        <v>267.27999999999997</v>
      </c>
      <c r="D115" s="998">
        <f t="shared" ca="1" si="20"/>
        <v>-5.4746074409393192E-2</v>
      </c>
      <c r="E115" s="990" cm="1">
        <f t="array" aca="1" ref="E115" ca="1">_xlfn.IFS(AND(D116&gt;=0,D115&gt;=0),22,AND(D116&gt;0,D115&lt;=0),21,  AND(D116&lt;0,D115&gt;0),12,AND(D116&lt;=0,D115&lt;=0),11)</f>
        <v>21</v>
      </c>
      <c r="F115" s="990">
        <f t="shared" ca="1" si="23"/>
        <v>2221</v>
      </c>
      <c r="G115" s="990">
        <f t="shared" ca="1" si="24"/>
        <v>212212</v>
      </c>
      <c r="H115" s="990" t="str" cm="1">
        <f t="array" aca="1" ref="H115" ca="1">_xlfn.IFS(D115&gt;0,"U",D115&lt;=0,"D",D115=0,"Z")</f>
        <v>D</v>
      </c>
      <c r="I115" s="990" t="str">
        <f t="shared" ca="1" si="25"/>
        <v>UD</v>
      </c>
      <c r="J115" s="990" t="str">
        <f t="shared" ca="1" si="26"/>
        <v>UUD</v>
      </c>
      <c r="V115" s="990">
        <f t="shared" ca="1" si="36"/>
        <v>10</v>
      </c>
      <c r="W115" s="990">
        <f t="shared" ca="1" si="22"/>
        <v>12</v>
      </c>
      <c r="AK115" s="990" vm="249">
        <f ca="1"/>
        <v>45820</v>
      </c>
      <c r="AL115" s="990" vm="250">
        <f ca="1"/>
        <v>319.11</v>
      </c>
      <c r="AP115" s="990" vm="246">
        <f ca="1"/>
        <v>325.31</v>
      </c>
    </row>
    <row r="116" spans="2:42" x14ac:dyDescent="0.3">
      <c r="B116" s="990" vm="247">
        <f ca="1"/>
        <v>45749</v>
      </c>
      <c r="C116" s="990" vm="244">
        <f ca="1"/>
        <v>282.76</v>
      </c>
      <c r="D116" s="998">
        <f t="shared" ca="1" si="20"/>
        <v>5.3266780898457919E-2</v>
      </c>
      <c r="E116" s="990" cm="1">
        <f t="array" aca="1" ref="E116" ca="1">_xlfn.IFS(AND(D117&gt;=0,D116&gt;=0),22,AND(D117&gt;0,D116&lt;=0),21,  AND(D117&lt;0,D116&gt;0),12,AND(D117&lt;=0,D116&lt;=0),11)</f>
        <v>22</v>
      </c>
      <c r="F116" s="990">
        <f t="shared" ca="1" si="23"/>
        <v>1222</v>
      </c>
      <c r="G116" s="990">
        <f t="shared" ca="1" si="24"/>
        <v>221211</v>
      </c>
      <c r="H116" s="990" t="str" cm="1">
        <f t="array" aca="1" ref="H116" ca="1">_xlfn.IFS(D116&gt;0,"U",D116&lt;=0,"D",D116=0,"Z")</f>
        <v>U</v>
      </c>
      <c r="I116" s="990" t="str">
        <f t="shared" ca="1" si="25"/>
        <v>UU</v>
      </c>
      <c r="J116" s="990" t="str">
        <f t="shared" ca="1" si="26"/>
        <v>DUU</v>
      </c>
      <c r="V116" s="990">
        <f t="shared" ca="1" si="36"/>
        <v>10</v>
      </c>
      <c r="W116" s="990">
        <f t="shared" ca="1" si="22"/>
        <v>12</v>
      </c>
      <c r="Y116" s="990">
        <f ca="1">COUNTIF(D126:D147,"&lt;0")</f>
        <v>15</v>
      </c>
      <c r="Z116" s="990">
        <f ca="1">COUNTIF(D126:D147,"&gt;0")</f>
        <v>7</v>
      </c>
      <c r="AK116" s="990" vm="245">
        <f ca="1"/>
        <v>45821</v>
      </c>
      <c r="AL116" s="990" vm="246">
        <f ca="1"/>
        <v>325.31</v>
      </c>
      <c r="AP116" s="990" vm="242">
        <f ca="1"/>
        <v>329.13</v>
      </c>
    </row>
    <row r="117" spans="2:42" x14ac:dyDescent="0.3">
      <c r="B117" s="990" vm="243">
        <f ca="1"/>
        <v>45748</v>
      </c>
      <c r="C117" s="990" vm="240">
        <f ca="1"/>
        <v>268.45999999999998</v>
      </c>
      <c r="D117" s="998">
        <f t="shared" ca="1" si="20"/>
        <v>3.5885167464114652E-2</v>
      </c>
      <c r="E117" s="990" cm="1">
        <f t="array" aca="1" ref="E117" ca="1">_xlfn.IFS(AND(D118&gt;=0,D117&gt;=0),22,AND(D118&gt;0,D117&lt;=0),21,  AND(D118&lt;0,D117&gt;0),12,AND(D118&lt;=0,D117&lt;=0),11)</f>
        <v>12</v>
      </c>
      <c r="F117" s="990">
        <f t="shared" ca="1" si="23"/>
        <v>1112</v>
      </c>
      <c r="G117" s="990">
        <f t="shared" ca="1" si="24"/>
        <v>121121</v>
      </c>
      <c r="H117" s="990" t="str" cm="1">
        <f t="array" aca="1" ref="H117" ca="1">_xlfn.IFS(D117&gt;0,"U",D117&lt;=0,"D",D117=0,"Z")</f>
        <v>U</v>
      </c>
      <c r="I117" s="990" t="str">
        <f t="shared" ca="1" si="25"/>
        <v>DU</v>
      </c>
      <c r="J117" s="990" t="str">
        <f t="shared" ca="1" si="26"/>
        <v>DDU</v>
      </c>
      <c r="V117" s="990">
        <f t="shared" ca="1" si="36"/>
        <v>11</v>
      </c>
      <c r="W117" s="990">
        <f t="shared" ca="1" si="22"/>
        <v>11</v>
      </c>
      <c r="AK117" s="990" vm="241">
        <f ca="1"/>
        <v>45824</v>
      </c>
      <c r="AL117" s="990" vm="242">
        <f ca="1"/>
        <v>329.13</v>
      </c>
      <c r="AP117" s="990" vm="238">
        <f ca="1"/>
        <v>316.35000000000002</v>
      </c>
    </row>
    <row r="118" spans="2:42" x14ac:dyDescent="0.3">
      <c r="B118" s="990" vm="239">
        <f ca="1"/>
        <v>45747</v>
      </c>
      <c r="C118" s="990" vm="236">
        <f ca="1"/>
        <v>259.16000000000003</v>
      </c>
      <c r="D118" s="998">
        <f t="shared" ca="1" si="20"/>
        <v>-1.6657180800607043E-2</v>
      </c>
      <c r="E118" s="990" cm="1">
        <f t="array" aca="1" ref="E118" ca="1">_xlfn.IFS(AND(D119&gt;=0,D118&gt;=0),22,AND(D119&gt;0,D118&lt;=0),21,  AND(D119&lt;0,D118&gt;0),12,AND(D119&lt;=0,D118&lt;=0),11)</f>
        <v>11</v>
      </c>
      <c r="F118" s="990">
        <f t="shared" ca="1" si="23"/>
        <v>2111</v>
      </c>
      <c r="G118" s="990">
        <f t="shared" ca="1" si="24"/>
        <v>112112</v>
      </c>
      <c r="H118" s="990" t="str" cm="1">
        <f t="array" aca="1" ref="H118" ca="1">_xlfn.IFS(D118&gt;0,"U",D118&lt;=0,"D",D118=0,"Z")</f>
        <v>D</v>
      </c>
      <c r="I118" s="990" t="str">
        <f t="shared" ca="1" si="25"/>
        <v>DD</v>
      </c>
      <c r="J118" s="990" t="str">
        <f t="shared" ca="1" si="26"/>
        <v>UDD</v>
      </c>
      <c r="V118" s="990">
        <f t="shared" ca="1" si="36"/>
        <v>11</v>
      </c>
      <c r="W118" s="990">
        <f t="shared" ca="1" si="22"/>
        <v>11</v>
      </c>
      <c r="AK118" s="990" vm="237">
        <f ca="1"/>
        <v>45825</v>
      </c>
      <c r="AL118" s="990" vm="238">
        <f ca="1"/>
        <v>316.35000000000002</v>
      </c>
      <c r="AP118" s="990" vm="234">
        <f ca="1"/>
        <v>322.05</v>
      </c>
    </row>
    <row r="119" spans="2:42" x14ac:dyDescent="0.3">
      <c r="B119" s="990" vm="235">
        <f ca="1"/>
        <v>45744</v>
      </c>
      <c r="C119" s="990" vm="232">
        <f ca="1"/>
        <v>263.55</v>
      </c>
      <c r="D119" s="998">
        <f t="shared" ca="1" si="20"/>
        <v>-3.5074872771207792E-2</v>
      </c>
      <c r="E119" s="990" cm="1">
        <f t="array" aca="1" ref="E119" ca="1">_xlfn.IFS(AND(D120&gt;=0,D119&gt;=0),22,AND(D120&gt;0,D119&lt;=0),21,  AND(D120&lt;0,D119&gt;0),12,AND(D120&lt;=0,D119&lt;=0),11)</f>
        <v>21</v>
      </c>
      <c r="F119" s="990">
        <f t="shared" ca="1" si="23"/>
        <v>1221</v>
      </c>
      <c r="G119" s="990">
        <f t="shared" ca="1" si="24"/>
        <v>211221</v>
      </c>
      <c r="H119" s="990" t="str" cm="1">
        <f t="array" aca="1" ref="H119" ca="1">_xlfn.IFS(D119&gt;0,"U",D119&lt;=0,"D",D119=0,"Z")</f>
        <v>D</v>
      </c>
      <c r="I119" s="990" t="str">
        <f t="shared" ca="1" si="25"/>
        <v>UD</v>
      </c>
      <c r="J119" s="990" t="str">
        <f t="shared" ca="1" si="26"/>
        <v>DUD</v>
      </c>
      <c r="V119" s="990">
        <f t="shared" ca="1" si="36"/>
        <v>11</v>
      </c>
      <c r="W119" s="990">
        <f t="shared" ca="1" si="22"/>
        <v>11</v>
      </c>
      <c r="AK119" s="990" vm="233">
        <f ca="1"/>
        <v>45826</v>
      </c>
      <c r="AL119" s="990" vm="234">
        <f ca="1"/>
        <v>322.05</v>
      </c>
      <c r="AP119" s="990" vm="230">
        <f ca="1"/>
        <v>322.16000000000003</v>
      </c>
    </row>
    <row r="120" spans="2:42" x14ac:dyDescent="0.3">
      <c r="B120" s="990" vm="231">
        <f ca="1"/>
        <v>45743</v>
      </c>
      <c r="C120" s="990" vm="228">
        <f ca="1"/>
        <v>273.13</v>
      </c>
      <c r="D120" s="998">
        <f t="shared" ca="1" si="20"/>
        <v>3.9329559655957996E-3</v>
      </c>
      <c r="E120" s="990" cm="1">
        <f t="array" aca="1" ref="E120" ca="1">_xlfn.IFS(AND(D121&gt;=0,D120&gt;=0),22,AND(D121&gt;0,D120&lt;=0),21,  AND(D121&lt;0,D120&gt;0),12,AND(D121&lt;=0,D120&lt;=0),11)</f>
        <v>12</v>
      </c>
      <c r="F120" s="990">
        <f t="shared" ca="1" si="23"/>
        <v>2112</v>
      </c>
      <c r="G120" s="990">
        <f t="shared" ca="1" si="24"/>
        <v>122122</v>
      </c>
      <c r="H120" s="990" t="str" cm="1">
        <f t="array" aca="1" ref="H120" ca="1">_xlfn.IFS(D120&gt;0,"U",D120&lt;=0,"D",D120=0,"Z")</f>
        <v>U</v>
      </c>
      <c r="I120" s="990" t="str">
        <f t="shared" ca="1" si="25"/>
        <v>DU</v>
      </c>
      <c r="J120" s="990" t="str">
        <f t="shared" ca="1" si="26"/>
        <v>UDU</v>
      </c>
      <c r="V120" s="990">
        <f t="shared" ca="1" si="36"/>
        <v>11</v>
      </c>
      <c r="W120" s="990">
        <f t="shared" ca="1" si="22"/>
        <v>11</v>
      </c>
      <c r="AK120" s="990" vm="229">
        <f ca="1"/>
        <v>45828</v>
      </c>
      <c r="AL120" s="990" vm="230">
        <f ca="1"/>
        <v>322.16000000000003</v>
      </c>
      <c r="AP120" s="990" vm="226">
        <f ca="1"/>
        <v>348.68</v>
      </c>
    </row>
    <row r="121" spans="2:42" x14ac:dyDescent="0.3">
      <c r="B121" s="990" vm="227">
        <f ca="1"/>
        <v>45742</v>
      </c>
      <c r="C121" s="990" vm="224">
        <f ca="1"/>
        <v>272.06</v>
      </c>
      <c r="D121" s="998">
        <f t="shared" ca="1" si="20"/>
        <v>-5.5806205316859807E-2</v>
      </c>
      <c r="E121" s="990" cm="1">
        <f t="array" aca="1" ref="E121" ca="1">_xlfn.IFS(AND(D122&gt;=0,D121&gt;=0),22,AND(D122&gt;0,D121&lt;=0),21,  AND(D122&lt;0,D121&gt;0),12,AND(D122&lt;=0,D121&lt;=0),11)</f>
        <v>21</v>
      </c>
      <c r="F121" s="990">
        <f t="shared" ca="1" si="23"/>
        <v>2221</v>
      </c>
      <c r="G121" s="990">
        <f t="shared" ca="1" si="24"/>
        <v>212222</v>
      </c>
      <c r="H121" s="990" t="str" cm="1">
        <f t="array" aca="1" ref="H121" ca="1">_xlfn.IFS(D121&gt;0,"U",D121&lt;=0,"D",D121=0,"Z")</f>
        <v>D</v>
      </c>
      <c r="I121" s="990" t="str">
        <f t="shared" ca="1" si="25"/>
        <v>UD</v>
      </c>
      <c r="J121" s="990" t="str">
        <f t="shared" ca="1" si="26"/>
        <v>UUD</v>
      </c>
      <c r="V121" s="990">
        <f t="shared" ca="1" si="36"/>
        <v>12</v>
      </c>
      <c r="W121" s="990">
        <f t="shared" ca="1" si="22"/>
        <v>10</v>
      </c>
      <c r="AK121" s="990" vm="225">
        <f ca="1"/>
        <v>45831</v>
      </c>
      <c r="AL121" s="990" vm="226">
        <f ca="1"/>
        <v>348.68</v>
      </c>
      <c r="AP121" s="990" vm="222">
        <f ca="1"/>
        <v>340.47</v>
      </c>
    </row>
    <row r="122" spans="2:42" x14ac:dyDescent="0.3">
      <c r="B122" s="990" vm="223">
        <f ca="1"/>
        <v>45741</v>
      </c>
      <c r="C122" s="990" vm="220">
        <f ca="1"/>
        <v>288.14</v>
      </c>
      <c r="D122" s="998">
        <f t="shared" ca="1" si="20"/>
        <v>3.5022809727360896E-2</v>
      </c>
      <c r="E122" s="990" cm="1">
        <f t="array" aca="1" ref="E122" ca="1">_xlfn.IFS(AND(D123&gt;=0,D122&gt;=0),22,AND(D123&gt;0,D122&lt;=0),21,  AND(D123&lt;0,D122&gt;0),12,AND(D123&lt;=0,D122&lt;=0),11)</f>
        <v>22</v>
      </c>
      <c r="F122" s="990">
        <f t="shared" ca="1" si="23"/>
        <v>2222</v>
      </c>
      <c r="G122" s="990">
        <f t="shared" ca="1" si="24"/>
        <v>222222</v>
      </c>
      <c r="H122" s="990" t="str" cm="1">
        <f t="array" aca="1" ref="H122" ca="1">_xlfn.IFS(D122&gt;0,"U",D122&lt;=0,"D",D122=0,"Z")</f>
        <v>U</v>
      </c>
      <c r="I122" s="990" t="str">
        <f t="shared" ca="1" si="25"/>
        <v>UU</v>
      </c>
      <c r="J122" s="990" t="str">
        <f t="shared" ca="1" si="26"/>
        <v>UUU</v>
      </c>
      <c r="V122" s="990">
        <f t="shared" ca="1" si="36"/>
        <v>12</v>
      </c>
      <c r="W122" s="990">
        <f t="shared" ca="1" si="22"/>
        <v>10</v>
      </c>
      <c r="AK122" s="990" vm="221">
        <f ca="1"/>
        <v>45832</v>
      </c>
      <c r="AL122" s="990" vm="222">
        <f ca="1"/>
        <v>340.47</v>
      </c>
      <c r="AP122" s="990" vm="218">
        <f ca="1"/>
        <v>327.55</v>
      </c>
    </row>
    <row r="123" spans="2:42" x14ac:dyDescent="0.3">
      <c r="B123" s="990" vm="219">
        <f ca="1"/>
        <v>45740</v>
      </c>
      <c r="C123" s="990" vm="216">
        <f ca="1"/>
        <v>278.39</v>
      </c>
      <c r="D123" s="998">
        <f t="shared" ca="1" si="20"/>
        <v>0.11933577258654648</v>
      </c>
      <c r="E123" s="990" cm="1">
        <f t="array" aca="1" ref="E123" ca="1">_xlfn.IFS(AND(D124&gt;=0,D123&gt;=0),22,AND(D124&gt;0,D123&lt;=0),21,  AND(D124&lt;0,D123&gt;0),12,AND(D124&lt;=0,D123&lt;=0),11)</f>
        <v>22</v>
      </c>
      <c r="F123" s="990">
        <f t="shared" ca="1" si="23"/>
        <v>2222</v>
      </c>
      <c r="G123" s="990">
        <f t="shared" ca="1" si="24"/>
        <v>222222</v>
      </c>
      <c r="H123" s="990" t="str" cm="1">
        <f t="array" aca="1" ref="H123" ca="1">_xlfn.IFS(D123&gt;0,"U",D123&lt;=0,"D",D123=0,"Z")</f>
        <v>U</v>
      </c>
      <c r="I123" s="990" t="str">
        <f t="shared" ca="1" si="25"/>
        <v>UU</v>
      </c>
      <c r="J123" s="990" t="str">
        <f t="shared" ca="1" si="26"/>
        <v>UUU</v>
      </c>
      <c r="V123" s="990">
        <f t="shared" ca="1" si="36"/>
        <v>13</v>
      </c>
      <c r="W123" s="990">
        <f t="shared" ca="1" si="22"/>
        <v>9</v>
      </c>
      <c r="AK123" s="990" vm="217">
        <f ca="1"/>
        <v>45833</v>
      </c>
      <c r="AL123" s="990" vm="218">
        <f ca="1"/>
        <v>327.55</v>
      </c>
      <c r="AP123" s="990" vm="214">
        <f ca="1"/>
        <v>325.77999999999997</v>
      </c>
    </row>
    <row r="124" spans="2:42" x14ac:dyDescent="0.3">
      <c r="B124" s="990" vm="215">
        <f ca="1"/>
        <v>45737</v>
      </c>
      <c r="C124" s="990" vm="212">
        <f ca="1"/>
        <v>248.71</v>
      </c>
      <c r="D124" s="998">
        <f t="shared" ca="1" si="20"/>
        <v>5.2696182172183262E-2</v>
      </c>
      <c r="E124" s="990" cm="1">
        <f t="array" aca="1" ref="E124" ca="1">_xlfn.IFS(AND(D125&gt;=0,D124&gt;=0),22,AND(D125&gt;0,D124&lt;=0),21,  AND(D125&lt;0,D124&gt;0),12,AND(D125&lt;=0,D124&lt;=0),11)</f>
        <v>22</v>
      </c>
      <c r="F124" s="990">
        <f t="shared" ca="1" si="23"/>
        <v>2222</v>
      </c>
      <c r="G124" s="990">
        <f t="shared" ca="1" si="24"/>
        <v>222212</v>
      </c>
      <c r="H124" s="990" t="str" cm="1">
        <f t="array" aca="1" ref="H124" ca="1">_xlfn.IFS(D124&gt;0,"U",D124&lt;=0,"D",D124=0,"Z")</f>
        <v>U</v>
      </c>
      <c r="I124" s="990" t="str">
        <f t="shared" ca="1" si="25"/>
        <v>UU</v>
      </c>
      <c r="J124" s="990" t="str">
        <f t="shared" ca="1" si="26"/>
        <v>UUU</v>
      </c>
      <c r="V124" s="990">
        <f t="shared" ca="1" si="36"/>
        <v>14</v>
      </c>
      <c r="W124" s="990">
        <f t="shared" ca="1" si="22"/>
        <v>8</v>
      </c>
      <c r="AK124" s="990" vm="213">
        <f ca="1"/>
        <v>45834</v>
      </c>
      <c r="AL124" s="990" vm="214">
        <f ca="1"/>
        <v>325.77999999999997</v>
      </c>
      <c r="AP124" s="990" vm="210">
        <f ca="1"/>
        <v>323.63</v>
      </c>
    </row>
    <row r="125" spans="2:42" x14ac:dyDescent="0.3">
      <c r="B125" s="990" vm="211">
        <f ca="1"/>
        <v>45736</v>
      </c>
      <c r="C125" s="990" vm="208">
        <f ca="1"/>
        <v>236.26</v>
      </c>
      <c r="D125" s="998">
        <f t="shared" ca="1" si="20"/>
        <v>1.6959213092511542E-3</v>
      </c>
      <c r="E125" s="990" cm="1">
        <f t="array" aca="1" ref="E125" ca="1">_xlfn.IFS(AND(D126&gt;=0,D125&gt;=0),22,AND(D126&gt;0,D125&lt;=0),21,  AND(D126&lt;0,D125&gt;0),12,AND(D126&lt;=0,D125&lt;=0),11)</f>
        <v>22</v>
      </c>
      <c r="F125" s="990">
        <f t="shared" ca="1" si="23"/>
        <v>1222</v>
      </c>
      <c r="G125" s="990">
        <f t="shared" ca="1" si="24"/>
        <v>221211</v>
      </c>
      <c r="H125" s="990" t="str" cm="1">
        <f t="array" aca="1" ref="H125" ca="1">_xlfn.IFS(D125&gt;0,"U",D125&lt;=0,"D",D125=0,"Z")</f>
        <v>U</v>
      </c>
      <c r="I125" s="990" t="str">
        <f t="shared" ca="1" si="25"/>
        <v>UU</v>
      </c>
      <c r="J125" s="990" t="str">
        <f t="shared" ca="1" si="26"/>
        <v>DUU</v>
      </c>
      <c r="V125" s="990">
        <f t="shared" ca="1" si="36"/>
        <v>14</v>
      </c>
      <c r="W125" s="990">
        <f t="shared" ca="1" si="22"/>
        <v>8</v>
      </c>
      <c r="AK125" s="990" vm="209">
        <f ca="1"/>
        <v>45835</v>
      </c>
      <c r="AL125" s="990" vm="210">
        <f ca="1"/>
        <v>323.63</v>
      </c>
      <c r="AP125" s="990" vm="206">
        <f ca="1"/>
        <v>317.66000000000003</v>
      </c>
    </row>
    <row r="126" spans="2:42" x14ac:dyDescent="0.3">
      <c r="B126" s="990" vm="207">
        <f ca="1"/>
        <v>45735</v>
      </c>
      <c r="C126" s="990" vm="204">
        <f ca="1"/>
        <v>235.86</v>
      </c>
      <c r="D126" s="998">
        <f t="shared" ca="1" si="20"/>
        <v>4.6824375305135196E-2</v>
      </c>
      <c r="E126" s="990" cm="1">
        <f t="array" aca="1" ref="E126" ca="1">_xlfn.IFS(AND(D127&gt;=0,D126&gt;=0),22,AND(D127&gt;0,D126&lt;=0),21,  AND(D127&lt;0,D126&gt;0),12,AND(D127&lt;=0,D126&lt;=0),11)</f>
        <v>12</v>
      </c>
      <c r="F126" s="990">
        <f t="shared" ca="1" si="23"/>
        <v>1112</v>
      </c>
      <c r="G126" s="990">
        <f t="shared" ca="1" si="24"/>
        <v>121121</v>
      </c>
      <c r="H126" s="990" t="str" cm="1">
        <f t="array" aca="1" ref="H126" ca="1">_xlfn.IFS(D126&gt;0,"U",D126&lt;=0,"D",D126=0,"Z")</f>
        <v>U</v>
      </c>
      <c r="I126" s="990" t="str">
        <f t="shared" ca="1" si="25"/>
        <v>DU</v>
      </c>
      <c r="J126" s="990" t="str">
        <f t="shared" ca="1" si="26"/>
        <v>DDU</v>
      </c>
      <c r="V126" s="990">
        <f t="shared" ca="1" si="36"/>
        <v>15</v>
      </c>
      <c r="W126" s="990">
        <f t="shared" ca="1" si="22"/>
        <v>7</v>
      </c>
      <c r="AK126" s="990" vm="205">
        <f ca="1"/>
        <v>45838</v>
      </c>
      <c r="AL126" s="990" vm="206">
        <f ca="1"/>
        <v>317.66000000000003</v>
      </c>
      <c r="AP126" s="990" vm="202">
        <f ca="1"/>
        <v>300.70999999999998</v>
      </c>
    </row>
    <row r="127" spans="2:42" x14ac:dyDescent="0.3">
      <c r="B127" s="990" vm="203">
        <f ca="1"/>
        <v>45734</v>
      </c>
      <c r="C127" s="990" vm="200">
        <f ca="1"/>
        <v>225.31</v>
      </c>
      <c r="D127" s="998">
        <f t="shared" ca="1" si="20"/>
        <v>-5.3359102558715975E-2</v>
      </c>
      <c r="E127" s="990" cm="1">
        <f t="array" aca="1" ref="E127" ca="1">_xlfn.IFS(AND(D128&gt;=0,D127&gt;=0),22,AND(D128&gt;0,D127&lt;=0),21,  AND(D128&lt;0,D127&gt;0),12,AND(D128&lt;=0,D127&lt;=0),11)</f>
        <v>11</v>
      </c>
      <c r="F127" s="990">
        <f t="shared" ca="1" si="23"/>
        <v>2111</v>
      </c>
      <c r="G127" s="990">
        <f t="shared" ca="1" si="24"/>
        <v>112112</v>
      </c>
      <c r="H127" s="990" t="str" cm="1">
        <f t="array" aca="1" ref="H127" ca="1">_xlfn.IFS(D127&gt;0,"U",D127&lt;=0,"D",D127=0,"Z")</f>
        <v>D</v>
      </c>
      <c r="I127" s="990" t="str">
        <f t="shared" ca="1" si="25"/>
        <v>DD</v>
      </c>
      <c r="J127" s="990" t="str">
        <f t="shared" ca="1" si="26"/>
        <v>UDD</v>
      </c>
      <c r="AK127" s="990" vm="201">
        <f ca="1"/>
        <v>45839</v>
      </c>
      <c r="AL127" s="990" vm="202">
        <f ca="1"/>
        <v>300.70999999999998</v>
      </c>
      <c r="AP127" s="990" vm="198">
        <f ca="1"/>
        <v>315.64999999999998</v>
      </c>
    </row>
    <row r="128" spans="2:42" x14ac:dyDescent="0.3">
      <c r="B128" s="990" vm="199">
        <f ca="1"/>
        <v>45733</v>
      </c>
      <c r="C128" s="990" vm="196">
        <f ca="1"/>
        <v>238.01</v>
      </c>
      <c r="D128" s="998">
        <f t="shared" ca="1" si="20"/>
        <v>-4.7883830706456514E-2</v>
      </c>
      <c r="E128" s="990" cm="1">
        <f t="array" aca="1" ref="E128" ca="1">_xlfn.IFS(AND(D129&gt;=0,D128&gt;=0),22,AND(D129&gt;0,D128&lt;=0),21,  AND(D129&lt;0,D128&gt;0),12,AND(D129&lt;=0,D128&lt;=0),11)</f>
        <v>21</v>
      </c>
      <c r="F128" s="990">
        <f t="shared" ca="1" si="23"/>
        <v>1221</v>
      </c>
      <c r="G128" s="990">
        <f t="shared" ca="1" si="24"/>
        <v>211221</v>
      </c>
      <c r="H128" s="990" t="str" cm="1">
        <f t="array" aca="1" ref="H128" ca="1">_xlfn.IFS(D128&gt;0,"U",D128&lt;=0,"D",D128=0,"Z")</f>
        <v>D</v>
      </c>
      <c r="I128" s="990" t="str">
        <f t="shared" ca="1" si="25"/>
        <v>UD</v>
      </c>
      <c r="J128" s="990" t="str">
        <f t="shared" ca="1" si="26"/>
        <v>DUD</v>
      </c>
      <c r="AK128" s="990" vm="197">
        <f ca="1"/>
        <v>45840</v>
      </c>
      <c r="AL128" s="990" vm="198">
        <f ca="1"/>
        <v>315.64999999999998</v>
      </c>
      <c r="AP128" s="990" vm="194">
        <f ca="1"/>
        <v>315.35000000000002</v>
      </c>
    </row>
    <row r="129" spans="2:42" x14ac:dyDescent="0.3">
      <c r="B129" s="990" vm="195">
        <f ca="1"/>
        <v>45730</v>
      </c>
      <c r="C129" s="990" vm="192">
        <f ca="1"/>
        <v>249.98</v>
      </c>
      <c r="D129" s="998">
        <f t="shared" ca="1" si="20"/>
        <v>3.8640518530829247E-2</v>
      </c>
      <c r="E129" s="990" cm="1">
        <f t="array" aca="1" ref="E129" ca="1">_xlfn.IFS(AND(D130&gt;=0,D129&gt;=0),22,AND(D130&gt;0,D129&lt;=0),21,  AND(D130&lt;0,D129&gt;0),12,AND(D130&lt;=0,D129&lt;=0),11)</f>
        <v>12</v>
      </c>
      <c r="F129" s="990">
        <f t="shared" ca="1" si="23"/>
        <v>2112</v>
      </c>
      <c r="G129" s="990">
        <f t="shared" ca="1" si="24"/>
        <v>122122</v>
      </c>
      <c r="H129" s="990" t="str" cm="1">
        <f t="array" aca="1" ref="H129" ca="1">_xlfn.IFS(D129&gt;0,"U",D129&lt;=0,"D",D129=0,"Z")</f>
        <v>U</v>
      </c>
      <c r="I129" s="990" t="str">
        <f t="shared" ca="1" si="25"/>
        <v>DU</v>
      </c>
      <c r="J129" s="990" t="str">
        <f t="shared" ca="1" si="26"/>
        <v>UDU</v>
      </c>
      <c r="AK129" s="990" vm="193">
        <f ca="1"/>
        <v>45841</v>
      </c>
      <c r="AL129" s="990" vm="194">
        <f ca="1"/>
        <v>315.35000000000002</v>
      </c>
      <c r="AP129" s="990" vm="190">
        <f ca="1"/>
        <v>293.94</v>
      </c>
    </row>
    <row r="130" spans="2:42" x14ac:dyDescent="0.3">
      <c r="B130" s="990" vm="191">
        <f ca="1"/>
        <v>45729</v>
      </c>
      <c r="C130" s="990" vm="188">
        <f ca="1"/>
        <v>240.68</v>
      </c>
      <c r="D130" s="998">
        <f t="shared" ca="1" si="20"/>
        <v>-2.9868192994477797E-2</v>
      </c>
      <c r="E130" s="990" cm="1">
        <f t="array" aca="1" ref="E130" ca="1">_xlfn.IFS(AND(D131&gt;=0,D130&gt;=0),22,AND(D131&gt;0,D130&lt;=0),21,  AND(D131&lt;0,D130&gt;0),12,AND(D131&lt;=0,D130&lt;=0),11)</f>
        <v>21</v>
      </c>
      <c r="F130" s="990">
        <f t="shared" ca="1" si="23"/>
        <v>2221</v>
      </c>
      <c r="G130" s="990">
        <f t="shared" ca="1" si="24"/>
        <v>212212</v>
      </c>
      <c r="H130" s="990" t="str" cm="1">
        <f t="array" aca="1" ref="H130" ca="1">_xlfn.IFS(D130&gt;0,"U",D130&lt;=0,"D",D130=0,"Z")</f>
        <v>D</v>
      </c>
      <c r="I130" s="990" t="str">
        <f t="shared" ca="1" si="25"/>
        <v>UD</v>
      </c>
      <c r="J130" s="990" t="str">
        <f t="shared" ca="1" si="26"/>
        <v>UUD</v>
      </c>
      <c r="AK130" s="990" vm="189">
        <f ca="1"/>
        <v>45845</v>
      </c>
      <c r="AL130" s="990" vm="190">
        <f ca="1"/>
        <v>293.94</v>
      </c>
      <c r="AP130" s="990" vm="186">
        <f ca="1"/>
        <v>297.81</v>
      </c>
    </row>
    <row r="131" spans="2:42" x14ac:dyDescent="0.3">
      <c r="B131" s="990" vm="187">
        <f ca="1"/>
        <v>45728</v>
      </c>
      <c r="C131" s="990" vm="184">
        <f ca="1"/>
        <v>248.09</v>
      </c>
      <c r="D131" s="998">
        <f t="shared" ca="1" si="20"/>
        <v>7.5938936594674253E-2</v>
      </c>
      <c r="E131" s="990" cm="1">
        <f t="array" aca="1" ref="E131" ca="1">_xlfn.IFS(AND(D132&gt;=0,D131&gt;=0),22,AND(D132&gt;0,D131&lt;=0),21,  AND(D132&lt;0,D131&gt;0),12,AND(D132&lt;=0,D131&lt;=0),11)</f>
        <v>22</v>
      </c>
      <c r="F131" s="990">
        <f t="shared" ca="1" si="23"/>
        <v>1222</v>
      </c>
      <c r="G131" s="990">
        <f t="shared" ca="1" si="24"/>
        <v>221211</v>
      </c>
      <c r="H131" s="990" t="str" cm="1">
        <f t="array" aca="1" ref="H131" ca="1">_xlfn.IFS(D131&gt;0,"U",D131&lt;=0,"D",D131=0,"Z")</f>
        <v>U</v>
      </c>
      <c r="I131" s="990" t="str">
        <f t="shared" ca="1" si="25"/>
        <v>UU</v>
      </c>
      <c r="J131" s="990" t="str">
        <f t="shared" ca="1" si="26"/>
        <v>DUU</v>
      </c>
      <c r="AK131" s="990" vm="185">
        <f ca="1"/>
        <v>45846</v>
      </c>
      <c r="AL131" s="990" vm="186">
        <f ca="1"/>
        <v>297.81</v>
      </c>
      <c r="AP131" s="990" vm="182">
        <f ca="1"/>
        <v>295.88</v>
      </c>
    </row>
    <row r="132" spans="2:42" x14ac:dyDescent="0.3">
      <c r="B132" s="990" vm="183">
        <f ca="1"/>
        <v>45727</v>
      </c>
      <c r="C132" s="990" vm="180">
        <f ca="1"/>
        <v>230.58</v>
      </c>
      <c r="D132" s="998">
        <f t="shared" ca="1" si="20"/>
        <v>3.7947332883187065E-2</v>
      </c>
      <c r="E132" s="990" cm="1">
        <f t="array" aca="1" ref="E132" ca="1">_xlfn.IFS(AND(D133&gt;=0,D132&gt;=0),22,AND(D133&gt;0,D132&lt;=0),21,  AND(D133&lt;0,D132&gt;0),12,AND(D133&lt;=0,D132&lt;=0),11)</f>
        <v>12</v>
      </c>
      <c r="F132" s="990">
        <f t="shared" ca="1" si="23"/>
        <v>1112</v>
      </c>
      <c r="G132" s="990">
        <f t="shared" ca="1" si="24"/>
        <v>121111</v>
      </c>
      <c r="H132" s="990" t="str" cm="1">
        <f t="array" aca="1" ref="H132" ca="1">_xlfn.IFS(D132&gt;0,"U",D132&lt;=0,"D",D132=0,"Z")</f>
        <v>U</v>
      </c>
      <c r="I132" s="990" t="str">
        <f t="shared" ca="1" si="25"/>
        <v>DU</v>
      </c>
      <c r="J132" s="990" t="str">
        <f t="shared" ca="1" si="26"/>
        <v>DDU</v>
      </c>
      <c r="AK132" s="990" vm="181">
        <f ca="1"/>
        <v>45847</v>
      </c>
      <c r="AL132" s="990" vm="182">
        <f ca="1"/>
        <v>295.88</v>
      </c>
      <c r="AP132" s="990" vm="178">
        <f ca="1"/>
        <v>309.87</v>
      </c>
    </row>
    <row r="133" spans="2:42" x14ac:dyDescent="0.3">
      <c r="B133" s="990" vm="179">
        <f ca="1"/>
        <v>45726</v>
      </c>
      <c r="C133" s="990" vm="176">
        <f ca="1"/>
        <v>222.15</v>
      </c>
      <c r="D133" s="998">
        <f t="shared" ref="D133:D159" ca="1" si="37">IFERROR((C133-C134)/C134,0)</f>
        <v>-0.15426200175124685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1111</v>
      </c>
      <c r="G133" s="990">
        <f t="shared" ca="1" si="24"/>
        <v>111121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DDD</v>
      </c>
      <c r="AK133" s="990" vm="177">
        <f ca="1"/>
        <v>45848</v>
      </c>
      <c r="AL133" s="990" vm="178">
        <f ca="1"/>
        <v>309.87</v>
      </c>
      <c r="AP133" s="990" vm="174">
        <f ca="1"/>
        <v>313.51</v>
      </c>
    </row>
    <row r="134" spans="2:42" x14ac:dyDescent="0.3">
      <c r="B134" s="990" vm="175">
        <f ca="1"/>
        <v>45723</v>
      </c>
      <c r="C134" s="990" vm="172">
        <f ca="1"/>
        <v>262.67</v>
      </c>
      <c r="D134" s="998">
        <f t="shared" ca="1" si="37"/>
        <v>-2.9607136078951329E-3</v>
      </c>
      <c r="E134" s="990" cm="1">
        <f t="array" aca="1" ref="E134" ca="1">_xlfn.IFS(AND(D135&gt;=0,D134&gt;=0),22,AND(D135&gt;0,D134&lt;=0),21,  AND(D135&lt;0,D134&gt;0),12,AND(D135&lt;=0,D134&lt;=0),11)</f>
        <v>11</v>
      </c>
      <c r="F134" s="990">
        <f t="shared" ref="F134:F159" ca="1" si="38">VALUE(E135&amp;E134)</f>
        <v>2111</v>
      </c>
      <c r="G134" s="990">
        <f t="shared" ref="G134:G159" ca="1" si="39">VALUE(E134&amp;E135&amp;E136)</f>
        <v>112112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DD</v>
      </c>
      <c r="J134" s="990" t="str">
        <f t="shared" ref="J134:J159" ca="1" si="41">_xlfn.CONCAT(H136,H135,H134)</f>
        <v>UDD</v>
      </c>
      <c r="AK134" s="990" vm="173">
        <f ca="1"/>
        <v>45849</v>
      </c>
      <c r="AL134" s="990" vm="174">
        <f ca="1"/>
        <v>313.51</v>
      </c>
      <c r="AP134" s="990" vm="170">
        <f ca="1"/>
        <v>316.89999999999998</v>
      </c>
    </row>
    <row r="135" spans="2:42" x14ac:dyDescent="0.3">
      <c r="B135" s="990" vm="171">
        <f ca="1"/>
        <v>45722</v>
      </c>
      <c r="C135" s="990" vm="168">
        <f ca="1"/>
        <v>263.45</v>
      </c>
      <c r="D135" s="998">
        <f t="shared" ca="1" si="37"/>
        <v>-5.607309208169127E-2</v>
      </c>
      <c r="E135" s="990" cm="1">
        <f t="array" aca="1" ref="E135" ca="1">_xlfn.IFS(AND(D136&gt;=0,D135&gt;=0),22,AND(D136&gt;0,D135&lt;=0),21,  AND(D136&lt;0,D135&gt;0),12,AND(D136&lt;=0,D135&lt;=0),11)</f>
        <v>21</v>
      </c>
      <c r="F135" s="990">
        <f t="shared" ca="1" si="38"/>
        <v>1221</v>
      </c>
      <c r="G135" s="990">
        <f t="shared" ca="1" si="39"/>
        <v>211211</v>
      </c>
      <c r="H135" s="990" t="str" cm="1">
        <f t="array" aca="1" ref="H135" ca="1">_xlfn.IFS(D135&gt;0,"U",D135&lt;=0,"D",D135=0,"Z")</f>
        <v>D</v>
      </c>
      <c r="I135" s="990" t="str">
        <f t="shared" ca="1" si="40"/>
        <v>UD</v>
      </c>
      <c r="J135" s="990" t="str">
        <f t="shared" ca="1" si="41"/>
        <v>DUD</v>
      </c>
      <c r="AK135" s="990" vm="169">
        <f ca="1"/>
        <v>45852</v>
      </c>
      <c r="AL135" s="990" vm="170">
        <f ca="1"/>
        <v>316.89999999999998</v>
      </c>
      <c r="AP135" s="990" vm="166">
        <f ca="1"/>
        <v>310.77999999999997</v>
      </c>
    </row>
    <row r="136" spans="2:42" x14ac:dyDescent="0.3">
      <c r="B136" s="990" vm="167">
        <f ca="1"/>
        <v>45721</v>
      </c>
      <c r="C136" s="990" vm="164">
        <f ca="1"/>
        <v>279.10000000000002</v>
      </c>
      <c r="D136" s="998">
        <f t="shared" ca="1" si="37"/>
        <v>2.595206587266579E-2</v>
      </c>
      <c r="E136" s="990" cm="1">
        <f t="array" aca="1" ref="E136" ca="1">_xlfn.IFS(AND(D137&gt;=0,D136&gt;=0),22,AND(D137&gt;0,D136&lt;=0),21,  AND(D137&lt;0,D136&gt;0),12,AND(D137&lt;=0,D136&lt;=0),11)</f>
        <v>12</v>
      </c>
      <c r="F136" s="990">
        <f t="shared" ca="1" si="38"/>
        <v>1112</v>
      </c>
      <c r="G136" s="990">
        <f t="shared" ca="1" si="39"/>
        <v>121121</v>
      </c>
      <c r="H136" s="990" t="str" cm="1">
        <f t="array" aca="1" ref="H136" ca="1">_xlfn.IFS(D136&gt;0,"U",D136&lt;=0,"D",D136=0,"Z")</f>
        <v>U</v>
      </c>
      <c r="I136" s="990" t="str">
        <f t="shared" ca="1" si="40"/>
        <v>DU</v>
      </c>
      <c r="J136" s="990" t="str">
        <f t="shared" ca="1" si="41"/>
        <v>DDU</v>
      </c>
      <c r="AK136" s="990" vm="165">
        <f ca="1"/>
        <v>45853</v>
      </c>
      <c r="AL136" s="990" vm="166">
        <f ca="1"/>
        <v>310.77999999999997</v>
      </c>
      <c r="AP136" s="990" vm="162">
        <f ca="1"/>
        <v>321.67</v>
      </c>
    </row>
    <row r="137" spans="2:42" x14ac:dyDescent="0.3">
      <c r="B137" s="990" vm="163">
        <f ca="1"/>
        <v>45720</v>
      </c>
      <c r="C137" s="990" vm="160">
        <f ca="1"/>
        <v>272.04000000000002</v>
      </c>
      <c r="D137" s="998">
        <f t="shared" ca="1" si="37"/>
        <v>-4.4300017565431081E-2</v>
      </c>
      <c r="E137" s="990" cm="1">
        <f t="array" aca="1" ref="E137" ca="1">_xlfn.IFS(AND(D138&gt;=0,D137&gt;=0),22,AND(D138&gt;0,D137&lt;=0),21,  AND(D138&lt;0,D137&gt;0),12,AND(D138&lt;=0,D137&lt;=0),11)</f>
        <v>11</v>
      </c>
      <c r="F137" s="990">
        <f t="shared" ca="1" si="38"/>
        <v>2111</v>
      </c>
      <c r="G137" s="990">
        <f t="shared" ca="1" si="39"/>
        <v>112112</v>
      </c>
      <c r="H137" s="990" t="str" cm="1">
        <f t="array" aca="1" ref="H137" ca="1">_xlfn.IFS(D137&gt;0,"U",D137&lt;=0,"D",D137=0,"Z")</f>
        <v>D</v>
      </c>
      <c r="I137" s="990" t="str">
        <f t="shared" ca="1" si="40"/>
        <v>DD</v>
      </c>
      <c r="J137" s="990" t="str">
        <f t="shared" ca="1" si="41"/>
        <v>UDD</v>
      </c>
      <c r="AK137" s="990" vm="161">
        <f ca="1"/>
        <v>45854</v>
      </c>
      <c r="AL137" s="990" vm="162">
        <f ca="1"/>
        <v>321.67</v>
      </c>
      <c r="AP137" s="990" vm="158">
        <f ca="1"/>
        <v>319.41000000000003</v>
      </c>
    </row>
    <row r="138" spans="2:42" x14ac:dyDescent="0.3">
      <c r="B138" s="990" vm="159">
        <f ca="1"/>
        <v>45719</v>
      </c>
      <c r="C138" s="990" vm="156">
        <f ca="1"/>
        <v>284.64999999999998</v>
      </c>
      <c r="D138" s="998">
        <f t="shared" ca="1" si="37"/>
        <v>-2.8431974878831458E-2</v>
      </c>
      <c r="E138" s="990" cm="1">
        <f t="array" aca="1" ref="E138" ca="1">_xlfn.IFS(AND(D139&gt;=0,D138&gt;=0),22,AND(D139&gt;0,D138&lt;=0),21,  AND(D139&lt;0,D138&gt;0),12,AND(D139&lt;=0,D138&lt;=0),11)</f>
        <v>21</v>
      </c>
      <c r="F138" s="990">
        <f t="shared" ca="1" si="38"/>
        <v>1221</v>
      </c>
      <c r="G138" s="990">
        <f t="shared" ca="1" si="39"/>
        <v>211211</v>
      </c>
      <c r="H138" s="990" t="str" cm="1">
        <f t="array" aca="1" ref="H138" ca="1">_xlfn.IFS(D138&gt;0,"U",D138&lt;=0,"D",D138=0,"Z")</f>
        <v>D</v>
      </c>
      <c r="I138" s="990" t="str">
        <f t="shared" ca="1" si="40"/>
        <v>UD</v>
      </c>
      <c r="J138" s="990" t="str">
        <f t="shared" ca="1" si="41"/>
        <v>DUD</v>
      </c>
      <c r="AK138" s="990" vm="157">
        <f ca="1"/>
        <v>45855</v>
      </c>
      <c r="AL138" s="990" vm="158">
        <f ca="1"/>
        <v>319.41000000000003</v>
      </c>
      <c r="AP138" s="990" vm="95">
        <f ca="1"/>
        <v>329.65</v>
      </c>
    </row>
    <row r="139" spans="2:42" x14ac:dyDescent="0.3">
      <c r="B139" s="990" vm="155">
        <f ca="1"/>
        <v>45716</v>
      </c>
      <c r="C139" s="990" vm="153">
        <f ca="1"/>
        <v>292.98</v>
      </c>
      <c r="D139" s="998">
        <f t="shared" ca="1" si="37"/>
        <v>3.9120411420464726E-2</v>
      </c>
      <c r="E139" s="990" cm="1">
        <f t="array" aca="1" ref="E139" ca="1">_xlfn.IFS(AND(D140&gt;=0,D139&gt;=0),22,AND(D140&gt;0,D139&lt;=0),21,  AND(D140&lt;0,D139&gt;0),12,AND(D140&lt;=0,D139&lt;=0),11)</f>
        <v>12</v>
      </c>
      <c r="F139" s="990">
        <f t="shared" ca="1" si="38"/>
        <v>1112</v>
      </c>
      <c r="G139" s="990">
        <f t="shared" ca="1" si="39"/>
        <v>121111</v>
      </c>
      <c r="H139" s="990" t="str" cm="1">
        <f t="array" aca="1" ref="H139" ca="1">_xlfn.IFS(D139&gt;0,"U",D139&lt;=0,"D",D139=0,"Z")</f>
        <v>U</v>
      </c>
      <c r="I139" s="990" t="str">
        <f t="shared" ca="1" si="40"/>
        <v>DU</v>
      </c>
      <c r="J139" s="990" t="str">
        <f t="shared" ca="1" si="41"/>
        <v>DDU</v>
      </c>
      <c r="AK139" s="990" vm="154">
        <f ca="1"/>
        <v>45856</v>
      </c>
      <c r="AL139" s="990" vm="95">
        <f ca="1"/>
        <v>329.65</v>
      </c>
      <c r="AP139" s="990" vm="151">
        <f ca="1"/>
        <v>328.49</v>
      </c>
    </row>
    <row r="140" spans="2:42" x14ac:dyDescent="0.3">
      <c r="B140" s="990" vm="152">
        <f ca="1"/>
        <v>45715</v>
      </c>
      <c r="C140" s="990" vm="149">
        <f ca="1"/>
        <v>281.95</v>
      </c>
      <c r="D140" s="998">
        <f t="shared" ca="1" si="37"/>
        <v>-3.0433287482806128E-2</v>
      </c>
      <c r="E140" s="990" cm="1">
        <f t="array" aca="1" ref="E140" ca="1">_xlfn.IFS(AND(D141&gt;=0,D140&gt;=0),22,AND(D141&gt;0,D140&lt;=0),21,  AND(D141&lt;0,D140&gt;0),12,AND(D141&lt;=0,D140&lt;=0),11)</f>
        <v>11</v>
      </c>
      <c r="F140" s="990">
        <f t="shared" ca="1" si="38"/>
        <v>1111</v>
      </c>
      <c r="G140" s="990">
        <f t="shared" ca="1" si="39"/>
        <v>111111</v>
      </c>
      <c r="H140" s="990" t="str" cm="1">
        <f t="array" aca="1" ref="H140" ca="1">_xlfn.IFS(D140&gt;0,"U",D140&lt;=0,"D",D140=0,"Z")</f>
        <v>D</v>
      </c>
      <c r="I140" s="990" t="str">
        <f t="shared" ca="1" si="40"/>
        <v>DD</v>
      </c>
      <c r="J140" s="990" t="str">
        <f t="shared" ca="1" si="41"/>
        <v>DDD</v>
      </c>
      <c r="AK140" s="990" vm="150">
        <f ca="1"/>
        <v>45859</v>
      </c>
      <c r="AL140" s="990" vm="151">
        <f ca="1"/>
        <v>328.49</v>
      </c>
      <c r="AP140" s="990" vm="147">
        <f ca="1"/>
        <v>332.11</v>
      </c>
    </row>
    <row r="141" spans="2:42" x14ac:dyDescent="0.3">
      <c r="B141" s="990" vm="148">
        <f ca="1"/>
        <v>45714</v>
      </c>
      <c r="C141" s="990" vm="145">
        <f ca="1"/>
        <v>290.8</v>
      </c>
      <c r="D141" s="998">
        <f t="shared" ca="1" si="37"/>
        <v>-3.9630118890356669E-2</v>
      </c>
      <c r="E141" s="990" cm="1">
        <f t="array" aca="1" ref="E141" ca="1">_xlfn.IFS(AND(D142&gt;=0,D141&gt;=0),22,AND(D142&gt;0,D141&lt;=0),21,  AND(D142&lt;0,D141&gt;0),12,AND(D142&lt;=0,D141&lt;=0),11)</f>
        <v>11</v>
      </c>
      <c r="F141" s="990">
        <f t="shared" ca="1" si="38"/>
        <v>1111</v>
      </c>
      <c r="G141" s="990">
        <f t="shared" ca="1" si="39"/>
        <v>111111</v>
      </c>
      <c r="H141" s="990" t="str" cm="1">
        <f t="array" aca="1" ref="H141" ca="1">_xlfn.IFS(D141&gt;0,"U",D141&lt;=0,"D",D141=0,"Z")</f>
        <v>D</v>
      </c>
      <c r="I141" s="990" t="str">
        <f t="shared" ca="1" si="40"/>
        <v>DD</v>
      </c>
      <c r="J141" s="990" t="str">
        <f t="shared" ca="1" si="41"/>
        <v>DDD</v>
      </c>
      <c r="AK141" s="990" vm="146">
        <f ca="1"/>
        <v>45860</v>
      </c>
      <c r="AL141" s="990" vm="147">
        <f ca="1"/>
        <v>332.11</v>
      </c>
      <c r="AP141" s="990" vm="143">
        <f ca="1"/>
        <v>332.56</v>
      </c>
    </row>
    <row r="142" spans="2:42" x14ac:dyDescent="0.3">
      <c r="B142" s="990" vm="144">
        <f ca="1"/>
        <v>45713</v>
      </c>
      <c r="C142" s="990" vm="141">
        <f ca="1"/>
        <v>302.8</v>
      </c>
      <c r="D142" s="998">
        <f t="shared" ca="1" si="37"/>
        <v>-8.3895561673675498E-2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111111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42">
        <f ca="1"/>
        <v>45861</v>
      </c>
      <c r="AL142" s="990" vm="143">
        <f ca="1"/>
        <v>332.56</v>
      </c>
      <c r="AP142" s="990" vm="139">
        <f ca="1"/>
        <v>305.3</v>
      </c>
    </row>
    <row r="143" spans="2:42" x14ac:dyDescent="0.3">
      <c r="B143" s="990" vm="140">
        <f ca="1"/>
        <v>45712</v>
      </c>
      <c r="C143" s="990" vm="137">
        <f ca="1"/>
        <v>330.53</v>
      </c>
      <c r="D143" s="998">
        <f t="shared" ca="1" si="37"/>
        <v>-2.1521610420367196E-2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1111</v>
      </c>
      <c r="G143" s="990">
        <f t="shared" ca="1" si="39"/>
        <v>111121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DDD</v>
      </c>
      <c r="AK143" s="990" vm="138">
        <f ca="1"/>
        <v>45862</v>
      </c>
      <c r="AL143" s="990" vm="139">
        <f ca="1"/>
        <v>305.3</v>
      </c>
      <c r="AP143" s="990" vm="135">
        <f ca="1"/>
        <v>316.06</v>
      </c>
    </row>
    <row r="144" spans="2:42" x14ac:dyDescent="0.3">
      <c r="B144" s="990" vm="136">
        <f ca="1"/>
        <v>45709</v>
      </c>
      <c r="C144" s="990" vm="133">
        <f ca="1"/>
        <v>337.8</v>
      </c>
      <c r="D144" s="998">
        <f t="shared" ca="1" si="37"/>
        <v>-4.6839729119638733E-2</v>
      </c>
      <c r="E144" s="990" cm="1">
        <f t="array" aca="1" ref="E144" ca="1">_xlfn.IFS(AND(D145&gt;=0,D144&gt;=0),22,AND(D145&gt;0,D144&lt;=0),21,  AND(D145&lt;0,D144&gt;0),12,AND(D145&lt;=0,D144&lt;=0),11)</f>
        <v>11</v>
      </c>
      <c r="F144" s="990">
        <f t="shared" ca="1" si="38"/>
        <v>2111</v>
      </c>
      <c r="G144" s="990">
        <f t="shared" ca="1" si="39"/>
        <v>112112</v>
      </c>
      <c r="H144" s="990" t="str" cm="1">
        <f t="array" aca="1" ref="H144" ca="1">_xlfn.IFS(D144&gt;0,"U",D144&lt;=0,"D",D144=0,"Z")</f>
        <v>D</v>
      </c>
      <c r="I144" s="990" t="str">
        <f t="shared" ca="1" si="40"/>
        <v>DD</v>
      </c>
      <c r="J144" s="990" t="str">
        <f t="shared" ca="1" si="41"/>
        <v>UDD</v>
      </c>
      <c r="AK144" s="990" vm="134">
        <f ca="1"/>
        <v>45863</v>
      </c>
      <c r="AL144" s="990" vm="135">
        <f ca="1"/>
        <v>316.06</v>
      </c>
      <c r="AP144" s="990" vm="131">
        <f ca="1"/>
        <v>325.58999999999997</v>
      </c>
    </row>
    <row r="145" spans="2:42" x14ac:dyDescent="0.3">
      <c r="B145" s="990" vm="132">
        <f ca="1"/>
        <v>45708</v>
      </c>
      <c r="C145" s="990" vm="129">
        <f ca="1"/>
        <v>354.4</v>
      </c>
      <c r="D145" s="998">
        <f t="shared" ca="1" si="37"/>
        <v>-1.7084535167517265E-2</v>
      </c>
      <c r="E145" s="990" cm="1">
        <f t="array" aca="1" ref="E145" ca="1">_xlfn.IFS(AND(D146&gt;=0,D145&gt;=0),22,AND(D146&gt;0,D145&lt;=0),21,  AND(D146&lt;0,D145&gt;0),12,AND(D146&lt;=0,D145&lt;=0),11)</f>
        <v>21</v>
      </c>
      <c r="F145" s="990">
        <f t="shared" ca="1" si="38"/>
        <v>1221</v>
      </c>
      <c r="G145" s="990">
        <f t="shared" ca="1" si="39"/>
        <v>211211</v>
      </c>
      <c r="H145" s="990" t="str" cm="1">
        <f t="array" aca="1" ref="H145" ca="1">_xlfn.IFS(D145&gt;0,"U",D145&lt;=0,"D",D145=0,"Z")</f>
        <v>D</v>
      </c>
      <c r="I145" s="990" t="str">
        <f t="shared" ca="1" si="40"/>
        <v>UD</v>
      </c>
      <c r="J145" s="990" t="str">
        <f t="shared" ca="1" si="41"/>
        <v>DUD</v>
      </c>
      <c r="AK145" s="990" vm="130">
        <f ca="1"/>
        <v>45866</v>
      </c>
      <c r="AL145" s="990" vm="131">
        <f ca="1"/>
        <v>325.58999999999997</v>
      </c>
      <c r="AP145" s="990" vm="127">
        <f ca="1"/>
        <v>321.2</v>
      </c>
    </row>
    <row r="146" spans="2:42" x14ac:dyDescent="0.3">
      <c r="B146" s="990" vm="128">
        <f ca="1"/>
        <v>45707</v>
      </c>
      <c r="C146" s="990" vm="125">
        <f ca="1"/>
        <v>360.56</v>
      </c>
      <c r="D146" s="998">
        <f t="shared" ca="1" si="37"/>
        <v>1.8214679054531044E-2</v>
      </c>
      <c r="E146" s="990" cm="1">
        <f t="array" aca="1" ref="E146" ca="1">_xlfn.IFS(AND(D147&gt;=0,D146&gt;=0),22,AND(D147&gt;0,D146&lt;=0),21,  AND(D147&lt;0,D146&gt;0),12,AND(D147&lt;=0,D146&lt;=0),11)</f>
        <v>12</v>
      </c>
      <c r="F146" s="990">
        <f t="shared" ca="1" si="38"/>
        <v>1112</v>
      </c>
      <c r="G146" s="990">
        <f t="shared" ca="1" si="39"/>
        <v>121121</v>
      </c>
      <c r="H146" s="990" t="str" cm="1">
        <f t="array" aca="1" ref="H146" ca="1">_xlfn.IFS(D146&gt;0,"U",D146&lt;=0,"D",D146=0,"Z")</f>
        <v>U</v>
      </c>
      <c r="I146" s="990" t="str">
        <f t="shared" ca="1" si="40"/>
        <v>DU</v>
      </c>
      <c r="J146" s="990" t="str">
        <f t="shared" ca="1" si="41"/>
        <v>DDU</v>
      </c>
      <c r="AK146" s="990" vm="126">
        <f ca="1"/>
        <v>45867</v>
      </c>
      <c r="AL146" s="990" vm="127">
        <f ca="1"/>
        <v>321.2</v>
      </c>
      <c r="AP146" s="990" vm="123">
        <f ca="1"/>
        <v>319.04000000000002</v>
      </c>
    </row>
    <row r="147" spans="2:42" x14ac:dyDescent="0.3">
      <c r="B147" s="990" vm="124">
        <f ca="1"/>
        <v>45706</v>
      </c>
      <c r="C147" s="990" vm="121">
        <f ca="1"/>
        <v>354.11</v>
      </c>
      <c r="D147" s="998">
        <f t="shared" ca="1" si="37"/>
        <v>-4.8617356115106831E-3</v>
      </c>
      <c r="E147" s="990" cm="1">
        <f t="array" aca="1" ref="E147" ca="1">_xlfn.IFS(AND(D148&gt;=0,D147&gt;=0),22,AND(D148&gt;0,D147&lt;=0),21,  AND(D148&lt;0,D147&gt;0),12,AND(D148&lt;=0,D147&lt;=0),11)</f>
        <v>11</v>
      </c>
      <c r="F147" s="990">
        <f t="shared" ca="1" si="38"/>
        <v>2111</v>
      </c>
      <c r="G147" s="990">
        <f t="shared" ca="1" si="39"/>
        <v>112122</v>
      </c>
      <c r="H147" s="990" t="str" cm="1">
        <f t="array" aca="1" ref="H147" ca="1">_xlfn.IFS(D147&gt;0,"U",D147&lt;=0,"D",D147=0,"Z")</f>
        <v>D</v>
      </c>
      <c r="I147" s="990" t="str">
        <f t="shared" ca="1" si="40"/>
        <v>DD</v>
      </c>
      <c r="J147" s="990" t="str">
        <f t="shared" ca="1" si="41"/>
        <v>UDD</v>
      </c>
      <c r="AK147" s="990" vm="122">
        <f ca="1"/>
        <v>45868</v>
      </c>
      <c r="AL147" s="990" vm="123">
        <f ca="1"/>
        <v>319.04000000000002</v>
      </c>
      <c r="AP147" s="990" vm="119">
        <f ca="1"/>
        <v>308.27</v>
      </c>
    </row>
    <row r="148" spans="2:42" x14ac:dyDescent="0.3">
      <c r="B148" s="990" vm="120">
        <f ca="1"/>
        <v>45702</v>
      </c>
      <c r="C148" s="990" vm="117">
        <f ca="1"/>
        <v>355.84</v>
      </c>
      <c r="D148" s="998">
        <f t="shared" ca="1" si="37"/>
        <v>-2.8094622689223673E-4</v>
      </c>
      <c r="E148" s="990" cm="1">
        <f t="array" aca="1" ref="E148" ca="1">_xlfn.IFS(AND(D149&gt;=0,D148&gt;=0),22,AND(D149&gt;0,D148&lt;=0),21,  AND(D149&lt;0,D148&gt;0),12,AND(D149&lt;=0,D148&lt;=0),11)</f>
        <v>21</v>
      </c>
      <c r="F148" s="990">
        <f t="shared" ca="1" si="38"/>
        <v>2221</v>
      </c>
      <c r="G148" s="990">
        <f t="shared" ca="1" si="39"/>
        <v>212212</v>
      </c>
      <c r="H148" s="990" t="str" cm="1">
        <f t="array" aca="1" ref="H148" ca="1">_xlfn.IFS(D148&gt;0,"U",D148&lt;=0,"D",D148=0,"Z")</f>
        <v>D</v>
      </c>
      <c r="I148" s="990" t="str">
        <f t="shared" ca="1" si="40"/>
        <v>UD</v>
      </c>
      <c r="J148" s="990" t="str">
        <f t="shared" ca="1" si="41"/>
        <v>UUD</v>
      </c>
      <c r="AK148" s="990" vm="118">
        <f ca="1"/>
        <v>45869</v>
      </c>
      <c r="AL148" s="990" vm="119">
        <f ca="1"/>
        <v>308.27</v>
      </c>
      <c r="AP148" s="990" vm="115">
        <f ca="1"/>
        <v>302.63</v>
      </c>
    </row>
    <row r="149" spans="2:42" x14ac:dyDescent="0.3">
      <c r="B149" s="990" vm="116">
        <f ca="1"/>
        <v>45701</v>
      </c>
      <c r="C149" s="990" vm="113">
        <f ca="1"/>
        <v>355.94</v>
      </c>
      <c r="D149" s="998">
        <f t="shared" ca="1" si="37"/>
        <v>5.773974027517758E-2</v>
      </c>
      <c r="E149" s="990" cm="1">
        <f t="array" aca="1" ref="E149" ca="1">_xlfn.IFS(AND(D150&gt;=0,D149&gt;=0),22,AND(D150&gt;0,D149&lt;=0),21,  AND(D150&lt;0,D149&gt;0),12,AND(D150&lt;=0,D149&lt;=0),11)</f>
        <v>22</v>
      </c>
      <c r="F149" s="990">
        <f t="shared" ca="1" si="38"/>
        <v>1222</v>
      </c>
      <c r="G149" s="990">
        <f t="shared" ca="1" si="39"/>
        <v>221211</v>
      </c>
      <c r="H149" s="990" t="str" cm="1">
        <f t="array" aca="1" ref="H149" ca="1">_xlfn.IFS(D149&gt;0,"U",D149&lt;=0,"D",D149=0,"Z")</f>
        <v>U</v>
      </c>
      <c r="I149" s="990" t="str">
        <f t="shared" ca="1" si="40"/>
        <v>UU</v>
      </c>
      <c r="J149" s="990" t="str">
        <f t="shared" ca="1" si="41"/>
        <v>DUU</v>
      </c>
      <c r="AK149" s="990" vm="114">
        <f ca="1"/>
        <v>45870</v>
      </c>
      <c r="AL149" s="990" vm="115">
        <f ca="1"/>
        <v>302.63</v>
      </c>
      <c r="AP149" s="990" vm="111">
        <f ca="1"/>
        <v>309.26</v>
      </c>
    </row>
    <row r="150" spans="2:42" x14ac:dyDescent="0.3">
      <c r="B150" s="990" vm="112">
        <f ca="1"/>
        <v>45700</v>
      </c>
      <c r="C150" s="990" vm="109">
        <f ca="1"/>
        <v>336.51</v>
      </c>
      <c r="D150" s="998">
        <f t="shared" ca="1" si="37"/>
        <v>2.4383561643835587E-2</v>
      </c>
      <c r="E150" s="990" cm="1">
        <f t="array" aca="1" ref="E150" ca="1">_xlfn.IFS(AND(D151&gt;=0,D150&gt;=0),22,AND(D151&gt;0,D150&lt;=0),21,  AND(D151&lt;0,D150&gt;0),12,AND(D151&lt;=0,D150&lt;=0),11)</f>
        <v>12</v>
      </c>
      <c r="F150" s="990">
        <f t="shared" ca="1" si="38"/>
        <v>1112</v>
      </c>
      <c r="G150" s="990">
        <f t="shared" ca="1" si="39"/>
        <v>121111</v>
      </c>
      <c r="H150" s="990" t="str" cm="1">
        <f t="array" aca="1" ref="H150" ca="1">_xlfn.IFS(D150&gt;0,"U",D150&lt;=0,"D",D150=0,"Z")</f>
        <v>U</v>
      </c>
      <c r="I150" s="990" t="str">
        <f t="shared" ca="1" si="40"/>
        <v>DU</v>
      </c>
      <c r="J150" s="990" t="str">
        <f t="shared" ca="1" si="41"/>
        <v>DDU</v>
      </c>
      <c r="AK150" s="990" vm="110">
        <f ca="1"/>
        <v>45873</v>
      </c>
      <c r="AL150" s="990" vm="111">
        <f ca="1"/>
        <v>309.26</v>
      </c>
      <c r="AP150" s="990" vm="107">
        <f ca="1"/>
        <v>308.72000000000003</v>
      </c>
    </row>
    <row r="151" spans="2:42" x14ac:dyDescent="0.3">
      <c r="B151" s="990" vm="108">
        <f ca="1"/>
        <v>45699</v>
      </c>
      <c r="C151" s="990" vm="105">
        <f ca="1"/>
        <v>328.5</v>
      </c>
      <c r="D151" s="998">
        <f t="shared" ca="1" si="37"/>
        <v>-6.3382088786245877E-2</v>
      </c>
      <c r="E151" s="990" cm="1">
        <f t="array" aca="1" ref="E151" ca="1">_xlfn.IFS(AND(D152&gt;=0,D151&gt;=0),22,AND(D152&gt;0,D151&lt;=0),21,  AND(D152&lt;0,D151&gt;0),12,AND(D152&lt;=0,D151&lt;=0),11)</f>
        <v>11</v>
      </c>
      <c r="F151" s="990">
        <f t="shared" ca="1" si="38"/>
        <v>1111</v>
      </c>
      <c r="G151" s="990">
        <f t="shared" ca="1" si="39"/>
        <v>111111</v>
      </c>
      <c r="H151" s="990" t="str" cm="1">
        <f t="array" aca="1" ref="H151" ca="1">_xlfn.IFS(D151&gt;0,"U",D151&lt;=0,"D",D151=0,"Z")</f>
        <v>D</v>
      </c>
      <c r="I151" s="990" t="str">
        <f t="shared" ca="1" si="40"/>
        <v>DD</v>
      </c>
      <c r="J151" s="990" t="str">
        <f t="shared" ca="1" si="41"/>
        <v>DDD</v>
      </c>
      <c r="AK151" s="990" vm="106">
        <f ca="1"/>
        <v>45874</v>
      </c>
      <c r="AL151" s="990" vm="107">
        <f ca="1"/>
        <v>308.72000000000003</v>
      </c>
      <c r="AP151" s="990" vm="103">
        <f ca="1"/>
        <v>319.91000000000003</v>
      </c>
    </row>
    <row r="152" spans="2:42" x14ac:dyDescent="0.3">
      <c r="B152" s="990" vm="104">
        <f ca="1"/>
        <v>45698</v>
      </c>
      <c r="C152" s="990" vm="101">
        <f ca="1"/>
        <v>350.73</v>
      </c>
      <c r="D152" s="998">
        <f t="shared" ca="1" si="37"/>
        <v>-3.0114484818317532E-2</v>
      </c>
      <c r="E152" s="990" cm="1">
        <f t="array" aca="1" ref="E152" ca="1">_xlfn.IFS(AND(D153&gt;=0,D152&gt;=0),22,AND(D153&gt;0,D152&lt;=0),21,  AND(D153&lt;0,D152&gt;0),12,AND(D153&lt;=0,D152&lt;=0),11)</f>
        <v>11</v>
      </c>
      <c r="F152" s="990">
        <f t="shared" ca="1" si="38"/>
        <v>1111</v>
      </c>
      <c r="G152" s="990">
        <f t="shared" ca="1" si="39"/>
        <v>111111</v>
      </c>
      <c r="H152" s="990" t="str" cm="1">
        <f t="array" aca="1" ref="H152" ca="1">_xlfn.IFS(D152&gt;0,"U",D152&lt;=0,"D",D152=0,"Z")</f>
        <v>D</v>
      </c>
      <c r="I152" s="990" t="str">
        <f t="shared" ca="1" si="40"/>
        <v>DD</v>
      </c>
      <c r="J152" s="990" t="str">
        <f t="shared" ca="1" si="41"/>
        <v>DDD</v>
      </c>
      <c r="AK152" s="990" vm="102">
        <f ca="1"/>
        <v>45875</v>
      </c>
      <c r="AL152" s="990" vm="103">
        <f ca="1"/>
        <v>319.91000000000003</v>
      </c>
      <c r="AP152" s="990" vm="99">
        <f ca="1"/>
        <v>322.27</v>
      </c>
    </row>
    <row r="153" spans="2:42" x14ac:dyDescent="0.3">
      <c r="B153" s="990" vm="100">
        <f ca="1"/>
        <v>45695</v>
      </c>
      <c r="C153" s="990" vm="97">
        <f ca="1"/>
        <v>361.62</v>
      </c>
      <c r="D153" s="998">
        <f t="shared" ca="1" si="37"/>
        <v>-3.3928189784141881E-2</v>
      </c>
      <c r="E153" s="990" cm="1">
        <f t="array" aca="1" ref="E153" ca="1">_xlfn.IFS(AND(D154&gt;=0,D153&gt;=0),22,AND(D154&gt;0,D153&lt;=0),21,  AND(D154&lt;0,D153&gt;0),12,AND(D154&lt;=0,D153&lt;=0),11)</f>
        <v>11</v>
      </c>
      <c r="F153" s="990">
        <f t="shared" ca="1" si="38"/>
        <v>1111</v>
      </c>
      <c r="G153" s="990">
        <f t="shared" ca="1" si="39"/>
        <v>111121</v>
      </c>
      <c r="H153" s="990" t="str" cm="1">
        <f t="array" aca="1" ref="H153" ca="1">_xlfn.IFS(D153&gt;0,"U",D153&lt;=0,"D",D153=0,"Z")</f>
        <v>D</v>
      </c>
      <c r="I153" s="990" t="str">
        <f t="shared" ca="1" si="40"/>
        <v>DD</v>
      </c>
      <c r="J153" s="990" t="str">
        <f t="shared" ca="1" si="41"/>
        <v>DDD</v>
      </c>
      <c r="AK153" s="990" vm="98">
        <f ca="1"/>
        <v>45876</v>
      </c>
      <c r="AL153" s="990" vm="99">
        <f ca="1"/>
        <v>322.27</v>
      </c>
      <c r="AP153" s="990" vm="95">
        <f ca="1"/>
        <v>329.65</v>
      </c>
    </row>
    <row r="154" spans="2:42" x14ac:dyDescent="0.3">
      <c r="B154" s="990" vm="96">
        <f ca="1"/>
        <v>45694</v>
      </c>
      <c r="C154" s="990" vm="93">
        <f ca="1"/>
        <v>374.32</v>
      </c>
      <c r="D154" s="998">
        <f t="shared" ca="1" si="37"/>
        <v>-1.0180606605494942E-2</v>
      </c>
      <c r="E154" s="990" cm="1">
        <f t="array" aca="1" ref="E154" ca="1">_xlfn.IFS(AND(D155&gt;=0,D154&gt;=0),22,AND(D155&gt;0,D154&lt;=0),21,  AND(D155&lt;0,D154&gt;0),12,AND(D155&lt;=0,D154&lt;=0),11)</f>
        <v>11</v>
      </c>
      <c r="F154" s="990">
        <f t="shared" ca="1" si="38"/>
        <v>2111</v>
      </c>
      <c r="G154" s="990">
        <f t="shared" ca="1" si="39"/>
        <v>112112</v>
      </c>
      <c r="H154" s="990" t="str" cm="1">
        <f t="array" aca="1" ref="H154" ca="1">_xlfn.IFS(D154&gt;0,"U",D154&lt;=0,"D",D154=0,"Z")</f>
        <v>D</v>
      </c>
      <c r="I154" s="990" t="str">
        <f t="shared" ca="1" si="40"/>
        <v>DD</v>
      </c>
      <c r="J154" s="990" t="str">
        <f t="shared" ca="1" si="41"/>
        <v>UDD</v>
      </c>
      <c r="AK154" s="990" vm="94">
        <f ca="1"/>
        <v>45877</v>
      </c>
      <c r="AL154" s="990" vm="95">
        <f ca="1"/>
        <v>329.65</v>
      </c>
      <c r="AP154" s="990" vm="91">
        <f ca="1"/>
        <v>339.03</v>
      </c>
    </row>
    <row r="155" spans="2:42" x14ac:dyDescent="0.3">
      <c r="B155" s="990" vm="92">
        <f ca="1"/>
        <v>45693</v>
      </c>
      <c r="C155" s="990" vm="89">
        <f ca="1"/>
        <v>378.17</v>
      </c>
      <c r="D155" s="998">
        <f t="shared" ca="1" si="37"/>
        <v>-3.5797149486244524E-2</v>
      </c>
      <c r="E155" s="990" cm="1">
        <f t="array" aca="1" ref="E155" ca="1">_xlfn.IFS(AND(D156&gt;=0,D155&gt;=0),22,AND(D156&gt;0,D155&lt;=0),21,  AND(D156&lt;0,D155&gt;0),12,AND(D156&lt;=0,D155&lt;=0),11)</f>
        <v>21</v>
      </c>
      <c r="F155" s="990">
        <f t="shared" ca="1" si="38"/>
        <v>1221</v>
      </c>
      <c r="G155" s="990">
        <f t="shared" ca="1" si="39"/>
        <v>211221</v>
      </c>
      <c r="H155" s="990" t="str" cm="1">
        <f t="array" aca="1" ref="H155" ca="1">_xlfn.IFS(D155&gt;0,"U",D155&lt;=0,"D",D155=0,"Z")</f>
        <v>D</v>
      </c>
      <c r="I155" s="990" t="str">
        <f t="shared" ca="1" si="40"/>
        <v>UD</v>
      </c>
      <c r="J155" s="990" t="str">
        <f t="shared" ca="1" si="41"/>
        <v>DUD</v>
      </c>
      <c r="AK155" s="990" vm="90">
        <f ca="1"/>
        <v>45880</v>
      </c>
      <c r="AL155" s="990" vm="91">
        <f ca="1"/>
        <v>339.03</v>
      </c>
      <c r="AP155" s="990" vm="87">
        <f ca="1"/>
        <v>340.84</v>
      </c>
    </row>
    <row r="156" spans="2:42" x14ac:dyDescent="0.3">
      <c r="B156" s="990" vm="88">
        <f ca="1"/>
        <v>45692</v>
      </c>
      <c r="C156" s="990" vm="85">
        <f ca="1"/>
        <v>392.21</v>
      </c>
      <c r="D156" s="998">
        <f t="shared" ca="1" si="37"/>
        <v>2.22320683903252E-2</v>
      </c>
      <c r="E156" s="990" cm="1">
        <f t="array" aca="1" ref="E156" ca="1">_xlfn.IFS(AND(D157&gt;=0,D156&gt;=0),22,AND(D157&gt;0,D156&lt;=0),21,  AND(D157&lt;0,D156&gt;0),12,AND(D157&lt;=0,D156&lt;=0),11)</f>
        <v>12</v>
      </c>
      <c r="F156" s="990">
        <f t="shared" ca="1" si="38"/>
        <v>2112</v>
      </c>
      <c r="G156" s="990">
        <f t="shared" ca="1" si="39"/>
        <v>122122</v>
      </c>
      <c r="H156" s="990" t="str" cm="1">
        <f t="array" aca="1" ref="H156" ca="1">_xlfn.IFS(D156&gt;0,"U",D156&lt;=0,"D",D156=0,"Z")</f>
        <v>U</v>
      </c>
      <c r="I156" s="990" t="str">
        <f t="shared" ca="1" si="40"/>
        <v>DU</v>
      </c>
      <c r="J156" s="990" t="str">
        <f t="shared" ca="1" si="41"/>
        <v>UDU</v>
      </c>
      <c r="AK156" s="990" vm="86">
        <f ca="1"/>
        <v>45881</v>
      </c>
      <c r="AL156" s="990" vm="87">
        <f ca="1"/>
        <v>340.84</v>
      </c>
      <c r="AP156" s="990" vm="83">
        <f ca="1"/>
        <v>339.38</v>
      </c>
    </row>
    <row r="157" spans="2:42" x14ac:dyDescent="0.3">
      <c r="B157" s="990" vm="84">
        <f ca="1"/>
        <v>45691</v>
      </c>
      <c r="C157" s="990" vm="81">
        <f ca="1"/>
        <v>383.68</v>
      </c>
      <c r="D157" s="998">
        <f t="shared" ca="1" si="37"/>
        <v>-5.1705388037568002E-2</v>
      </c>
      <c r="E157" s="990" cm="1">
        <f t="array" aca="1" ref="E157" ca="1">_xlfn.IFS(AND(D158&gt;=0,D157&gt;=0),22,AND(D158&gt;0,D157&lt;=0),21,  AND(D158&lt;0,D157&gt;0),12,AND(D158&lt;=0,D157&lt;=0),11)</f>
        <v>21</v>
      </c>
      <c r="F157" s="990">
        <f t="shared" ca="1" si="38"/>
        <v>2221</v>
      </c>
      <c r="G157" s="990">
        <f t="shared" ca="1" si="39"/>
        <v>212222</v>
      </c>
      <c r="H157" s="990" t="str" cm="1">
        <f t="array" aca="1" ref="H157" ca="1">_xlfn.IFS(D157&gt;0,"U",D157&lt;=0,"D",D157=0,"Z")</f>
        <v>D</v>
      </c>
      <c r="I157" s="990" t="str">
        <f t="shared" ca="1" si="40"/>
        <v>UD</v>
      </c>
      <c r="J157" s="990" t="str">
        <f t="shared" ca="1" si="41"/>
        <v>UUD</v>
      </c>
      <c r="AK157" s="990" vm="82">
        <f ca="1"/>
        <v>45882</v>
      </c>
      <c r="AL157" s="990" vm="83">
        <f ca="1"/>
        <v>339.38</v>
      </c>
      <c r="AP157" s="990" vm="79">
        <f ca="1"/>
        <v>335.58</v>
      </c>
    </row>
    <row r="158" spans="2:42" x14ac:dyDescent="0.3">
      <c r="B158" s="990" vm="80">
        <f ca="1"/>
        <v>45688</v>
      </c>
      <c r="C158" s="990" vm="77">
        <f ca="1"/>
        <v>404.6</v>
      </c>
      <c r="D158" s="998">
        <f t="shared" ca="1" si="37"/>
        <v>1.0792445288298317E-2</v>
      </c>
      <c r="E158" s="990" cm="1">
        <f t="array" aca="1" ref="E158" ca="1">_xlfn.IFS(AND(D159&gt;=0,D158&gt;=0),22,AND(D159&gt;0,D158&lt;=0),21,  AND(D159&lt;0,D158&gt;0),12,AND(D159&lt;=0,D158&lt;=0),11)</f>
        <v>22</v>
      </c>
      <c r="F158" s="990">
        <f t="shared" ca="1" si="38"/>
        <v>2222</v>
      </c>
      <c r="G158" s="990">
        <f t="shared" ca="1" si="39"/>
        <v>2222</v>
      </c>
      <c r="H158" s="990" t="str" cm="1">
        <f t="array" aca="1" ref="H158" ca="1">_xlfn.IFS(D158&gt;0,"U",D158&lt;=0,"D",D158=0,"Z")</f>
        <v>U</v>
      </c>
      <c r="I158" s="990" t="str">
        <f t="shared" ca="1" si="40"/>
        <v>UU</v>
      </c>
      <c r="J158" s="990" t="str">
        <f t="shared" ca="1" si="41"/>
        <v>UU</v>
      </c>
      <c r="AK158" s="990" vm="78">
        <f ca="1"/>
        <v>45883</v>
      </c>
      <c r="AL158" s="990" vm="79">
        <f ca="1"/>
        <v>335.58</v>
      </c>
      <c r="AP158" s="990" vm="75">
        <f ca="1"/>
        <v>330.56</v>
      </c>
    </row>
    <row r="159" spans="2:42" x14ac:dyDescent="0.3">
      <c r="B159" s="990" vm="76">
        <f ca="1"/>
        <v>45687</v>
      </c>
      <c r="C159" s="990" vm="73">
        <f ca="1"/>
        <v>400.28</v>
      </c>
      <c r="D159" s="998">
        <f t="shared" ca="1" si="37"/>
        <v>2.8732973528655743E-2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74">
        <f ca="1"/>
        <v>45884</v>
      </c>
      <c r="AL159" s="990" vm="75">
        <f ca="1"/>
        <v>330.56</v>
      </c>
      <c r="AP159" s="990" vm="71">
        <f ca="1"/>
        <v>335.16</v>
      </c>
    </row>
    <row r="160" spans="2:42" x14ac:dyDescent="0.3">
      <c r="B160" s="990" vm="72">
        <f ca="1"/>
        <v>45686</v>
      </c>
      <c r="C160" s="990" vm="69">
        <f ca="1"/>
        <v>389.1</v>
      </c>
      <c r="AK160" s="990" vm="70">
        <f ca="1"/>
        <v>45887</v>
      </c>
      <c r="AL160" s="990" vm="71">
        <f ca="1"/>
        <v>335.16</v>
      </c>
    </row>
    <row r="161" spans="2:38" x14ac:dyDescent="0.3">
      <c r="B161" s="990" vm="68">
        <f ca="1"/>
        <v>45685</v>
      </c>
      <c r="C161" s="990" vm="65">
        <f ca="1"/>
        <v>398.09</v>
      </c>
      <c r="AK161" s="990" vm="66">
        <f ca="1"/>
        <v>45888</v>
      </c>
      <c r="AL161" s="990" vm="67">
        <f ca="1"/>
        <v>329.31</v>
      </c>
    </row>
    <row r="162" spans="2:38" x14ac:dyDescent="0.3">
      <c r="B162" s="990" vm="64">
        <f ca="1"/>
        <v>45684</v>
      </c>
      <c r="C162" s="990" vm="61">
        <f ca="1"/>
        <v>397.15</v>
      </c>
      <c r="AK162" s="990" vm="62">
        <f ca="1"/>
        <v>45889</v>
      </c>
      <c r="AL162" s="990" vm="63">
        <f ca="1"/>
        <v>323.89999999999998</v>
      </c>
    </row>
    <row r="163" spans="2:38" x14ac:dyDescent="0.3">
      <c r="B163" s="990" vm="60">
        <f ca="1"/>
        <v>45681</v>
      </c>
      <c r="C163" s="990" vm="57">
        <f ca="1"/>
        <v>406.58</v>
      </c>
      <c r="AK163" s="990" vm="58">
        <f ca="1"/>
        <v>45890</v>
      </c>
      <c r="AL163" s="990" vm="59">
        <f ca="1"/>
        <v>320.11</v>
      </c>
    </row>
    <row r="164" spans="2:38" x14ac:dyDescent="0.3">
      <c r="B164" s="990" vm="56">
        <f ca="1"/>
        <v>45680</v>
      </c>
      <c r="C164" s="990" vm="53">
        <f ca="1"/>
        <v>412.38</v>
      </c>
      <c r="AK164" s="990" vm="54">
        <f ca="1"/>
        <v>45891</v>
      </c>
      <c r="AL164" s="990" vm="55">
        <f ca="1"/>
        <v>340.01</v>
      </c>
    </row>
    <row r="165" spans="2:38" x14ac:dyDescent="0.3">
      <c r="B165" s="990" vm="52">
        <f ca="1"/>
        <v>45679</v>
      </c>
      <c r="C165" s="990" vm="49">
        <f ca="1"/>
        <v>415.11</v>
      </c>
      <c r="AK165" s="990" vm="50">
        <f ca="1"/>
        <v>45894</v>
      </c>
      <c r="AL165" s="990" vm="51">
        <f ca="1"/>
        <v>346.6</v>
      </c>
    </row>
    <row r="166" spans="2:38" x14ac:dyDescent="0.3">
      <c r="B166" s="990" vm="48">
        <f ca="1"/>
        <v>45678</v>
      </c>
      <c r="C166" s="990" vm="45">
        <f ca="1"/>
        <v>424.07</v>
      </c>
      <c r="AK166" s="990" vm="46">
        <f ca="1"/>
        <v>45895</v>
      </c>
      <c r="AL166" s="990" vm="47">
        <f ca="1"/>
        <v>351.67</v>
      </c>
    </row>
    <row r="167" spans="2:38" x14ac:dyDescent="0.3">
      <c r="B167" s="990" vm="44">
        <f ca="1"/>
        <v>45674</v>
      </c>
      <c r="C167" s="990" vm="41">
        <f ca="1"/>
        <v>426.5</v>
      </c>
      <c r="AK167" s="990" vm="42">
        <f ca="1"/>
        <v>45896</v>
      </c>
      <c r="AL167" s="990" vm="43">
        <f ca="1"/>
        <v>349.6</v>
      </c>
    </row>
    <row r="168" spans="2:38" x14ac:dyDescent="0.3">
      <c r="B168" s="990" vm="40">
        <f ca="1"/>
        <v>45673</v>
      </c>
      <c r="C168" s="990" vm="37">
        <f ca="1"/>
        <v>413.82</v>
      </c>
      <c r="AK168" s="990" vm="38">
        <f ca="1"/>
        <v>45897</v>
      </c>
      <c r="AL168" s="990" vm="39">
        <f ca="1"/>
        <v>345.98</v>
      </c>
    </row>
    <row r="169" spans="2:38" x14ac:dyDescent="0.3">
      <c r="B169" s="990" vm="36">
        <f ca="1"/>
        <v>45672</v>
      </c>
      <c r="C169" s="990" vm="33">
        <f ca="1"/>
        <v>428.22</v>
      </c>
      <c r="AK169" s="990" vm="34">
        <f ca="1"/>
        <v>45898</v>
      </c>
      <c r="AL169" s="990" vm="35">
        <f ca="1"/>
        <v>333.87</v>
      </c>
    </row>
    <row r="170" spans="2:38" x14ac:dyDescent="0.3">
      <c r="B170" s="990" vm="32">
        <f ca="1"/>
        <v>45671</v>
      </c>
      <c r="C170" s="990" vm="29">
        <f ca="1"/>
        <v>396.36</v>
      </c>
      <c r="AK170" s="990" vm="30">
        <f ca="1"/>
        <v>45902</v>
      </c>
      <c r="AL170" s="990" vm="31">
        <f ca="1"/>
        <v>329.36</v>
      </c>
    </row>
    <row r="171" spans="2:38" x14ac:dyDescent="0.3">
      <c r="B171" s="990" vm="28">
        <f ca="1"/>
        <v>45670</v>
      </c>
      <c r="C171" s="990" vm="25">
        <f ca="1"/>
        <v>403.31</v>
      </c>
      <c r="AK171" s="990" vm="26">
        <f ca="1"/>
        <v>45903</v>
      </c>
      <c r="AL171" s="990" vm="27">
        <f ca="1"/>
        <v>334.09</v>
      </c>
    </row>
    <row r="172" spans="2:38" x14ac:dyDescent="0.3">
      <c r="B172" s="990" vm="24">
        <f ca="1"/>
        <v>45667</v>
      </c>
      <c r="C172" s="990" vm="21">
        <f ca="1"/>
        <v>394.74</v>
      </c>
      <c r="AK172" s="990" vm="22">
        <f ca="1"/>
        <v>45904</v>
      </c>
      <c r="AL172" s="990" vm="23">
        <f ca="1"/>
        <v>338.53</v>
      </c>
    </row>
    <row r="173" spans="2:38" x14ac:dyDescent="0.3">
      <c r="B173" s="990" vm="20">
        <f ca="1"/>
        <v>45665</v>
      </c>
      <c r="C173" s="990" vm="17">
        <f ca="1"/>
        <v>394.94</v>
      </c>
      <c r="AK173" s="990" vm="18">
        <f ca="1"/>
        <v>45905</v>
      </c>
      <c r="AL173" s="990" vm="19">
        <f ca="1"/>
        <v>350.84</v>
      </c>
    </row>
    <row r="174" spans="2:38" x14ac:dyDescent="0.3">
      <c r="B174" s="990" vm="16">
        <f ca="1"/>
        <v>45664</v>
      </c>
      <c r="C174" s="990" vm="13">
        <f ca="1"/>
        <v>394.36</v>
      </c>
      <c r="AK174" s="990" vm="14">
        <f ca="1"/>
        <v>45908</v>
      </c>
      <c r="AL174" s="990" vm="15">
        <f ca="1"/>
        <v>346.4</v>
      </c>
    </row>
    <row r="175" spans="2:38" x14ac:dyDescent="0.3">
      <c r="B175" s="990" vm="12">
        <f ca="1"/>
        <v>45663</v>
      </c>
      <c r="C175" s="990" vm="9">
        <f ca="1"/>
        <v>411.05</v>
      </c>
      <c r="AK175" s="990" vm="10">
        <f ca="1"/>
        <v>45909</v>
      </c>
      <c r="AL175" s="990" vm="11">
        <f ca="1"/>
        <v>346.97</v>
      </c>
    </row>
    <row r="176" spans="2:38" x14ac:dyDescent="0.3">
      <c r="B176" s="990" vm="8">
        <f ca="1"/>
        <v>45660</v>
      </c>
      <c r="C176" s="990" vm="5">
        <f ca="1"/>
        <v>410.44</v>
      </c>
      <c r="AK176" s="990" vm="6">
        <f ca="1"/>
        <v>45910</v>
      </c>
      <c r="AL176" s="990" vm="7">
        <f ca="1"/>
        <v>347.79</v>
      </c>
    </row>
    <row r="177" spans="2:38" x14ac:dyDescent="0.3">
      <c r="B177" s="990" vm="3">
        <f ca="1"/>
        <v>45659</v>
      </c>
      <c r="C177" s="990" vm="4">
        <f ca="1"/>
        <v>379.28</v>
      </c>
      <c r="AK177" s="990" vm="1">
        <f ca="1"/>
        <v>45911</v>
      </c>
      <c r="AL177" s="990" vm="2">
        <f ca="1"/>
        <v>368.81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668" priority="20" operator="lessThan">
      <formula>0.5</formula>
    </cfRule>
    <cfRule type="cellIs" dxfId="667" priority="21" operator="greaterThan">
      <formula>0.5</formula>
    </cfRule>
  </conditionalFormatting>
  <conditionalFormatting sqref="AC47">
    <cfRule type="expression" dxfId="666" priority="1">
      <formula>$AC$42&gt;$AC$47</formula>
    </cfRule>
    <cfRule type="expression" dxfId="665" priority="16">
      <formula>$AC$42&lt;$AC$47</formula>
    </cfRule>
  </conditionalFormatting>
  <conditionalFormatting sqref="AA42">
    <cfRule type="cellIs" dxfId="664" priority="12" operator="lessThan">
      <formula>0.5</formula>
    </cfRule>
    <cfRule type="cellIs" dxfId="663" priority="13" operator="greaterThan">
      <formula>0.5</formula>
    </cfRule>
  </conditionalFormatting>
  <conditionalFormatting sqref="AA47">
    <cfRule type="cellIs" dxfId="662" priority="10" operator="lessThan">
      <formula>0.5</formula>
    </cfRule>
    <cfRule type="cellIs" dxfId="661" priority="11" operator="greaterThan">
      <formula>0.5</formula>
    </cfRule>
  </conditionalFormatting>
  <conditionalFormatting sqref="AE42">
    <cfRule type="cellIs" dxfId="660" priority="8" operator="lessThan">
      <formula>0.5</formula>
    </cfRule>
    <cfRule type="cellIs" dxfId="659" priority="9" operator="greaterThan">
      <formula>0.5</formula>
    </cfRule>
  </conditionalFormatting>
  <conditionalFormatting sqref="AE47">
    <cfRule type="cellIs" dxfId="658" priority="6" operator="lessThan">
      <formula>0.5</formula>
    </cfRule>
    <cfRule type="cellIs" dxfId="657" priority="7" operator="greaterThan">
      <formula>0.5</formula>
    </cfRule>
  </conditionalFormatting>
  <conditionalFormatting sqref="Y42">
    <cfRule type="expression" dxfId="656" priority="2">
      <formula>$Y$42&gt;$Y$47</formula>
    </cfRule>
    <cfRule type="expression" dxfId="655" priority="5">
      <formula>$Y$42&lt;$Y$47</formula>
    </cfRule>
  </conditionalFormatting>
  <conditionalFormatting sqref="Y47">
    <cfRule type="expression" dxfId="654" priority="3">
      <formula>$Y$42&gt;$Y$47:$Y$48</formula>
    </cfRule>
    <cfRule type="expression" dxfId="653" priority="4">
      <formula>$Y$42&lt;$Y$47</formula>
    </cfRule>
  </conditionalFormatting>
  <conditionalFormatting sqref="AC42">
    <cfRule type="expression" dxfId="652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K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  <c r="AQ2" s="96" t="s">
        <v>2612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4079668.06</v>
      </c>
      <c r="I3" t="str" cm="1">
        <f t="array" ref="I3:J95">_xlfn._xlws.SORT(CHOOSE({1,2},D3:D95,Tab1ChangePercent[Change%19]),2,-1)</f>
        <v>TSLA</v>
      </c>
      <c r="J3" s="601">
        <v>7.3561000000000001E-2</v>
      </c>
      <c r="K3" s="165" t="str" cm="1">
        <f t="array" aca="1" ref="K3:L95" ca="1">_xlfn._xlws.SORT(CHOOSE({1,2},D3:D95,Tab1ChangePercent[Change%20]),2,-1)</f>
        <v>TSLA</v>
      </c>
      <c r="L3" s="601">
        <f ca="1"/>
        <v>7.3561000000000001E-2</v>
      </c>
      <c r="M3" s="1" t="str" cm="1">
        <f t="array" aca="1" ref="M3:N95" ca="1">_xlfn._xlws.SORT(CHOOSE({1,2},D3:D95,TabCalc[GLMore@A]),2,-1)</f>
        <v>MSFT</v>
      </c>
      <c r="N3" s="600">
        <f ca="1"/>
        <v>1947026.8999999994</v>
      </c>
      <c r="O3" t="str" cm="1">
        <f t="array" aca="1" ref="O3:P95" ca="1">_xlfn._xlws.SORT(CHOOSE({1,2},D3:D95,TabTRADER[Buy_Back]),2,-1)</f>
        <v>SAFIAG</v>
      </c>
      <c r="P3" s="600">
        <f ca="1"/>
        <v>79879.799999999988</v>
      </c>
      <c r="Q3" t="str" cm="1">
        <f t="array" aca="1" ref="Q3:R95" ca="1">_xlfn._xlws.SORT(CHOOSE({1,2},D3:D95,Tab2SumChangePercent[AVGChan20]),2,-1)</f>
        <v>LAZR</v>
      </c>
      <c r="R3" s="705">
        <f ca="1"/>
        <v>4.1400315476190483E-2</v>
      </c>
      <c r="S3" t="str" cm="1">
        <f t="array" aca="1" ref="S3:T95" ca="1">_xlfn._xlws.SORT(CHOOSE({1,2},D3:D95,Tab2Saldo[Sald20]),2,-1)</f>
        <v>AAPL</v>
      </c>
      <c r="T3" s="96">
        <f ca="1"/>
        <v>52380</v>
      </c>
      <c r="U3" t="str" cm="1">
        <f t="array" aca="1" ref="U3:V95" ca="1">_xlfn._xlws.SORT(CHOOSE({1,2},D3:D95,Tab2SaldoChange[Saldo_Change20]),2,-1)</f>
        <v>AAPL</v>
      </c>
      <c r="V3" s="96">
        <f ca="1"/>
        <v>37617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EOAN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382493.10000000003</v>
      </c>
      <c r="AI3" t="str" cm="1">
        <f t="array" aca="1" ref="AI3:AJ95" ca="1">_xlfn._xlws.SORT(CHOOSE({1,2},D3:D95,Tab2ReBuy[RevBuy20]),2,-1)</f>
        <v>MRNA</v>
      </c>
      <c r="AJ3" s="96">
        <f ca="1"/>
        <v>97094.999999999985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4.1400315476190483E-2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-0.51119336143308747</v>
      </c>
      <c r="AQ3" s="96" t="str" cm="1">
        <f t="array" aca="1" ref="AQ3:AR95" ca="1">_xlfn._xlws.SORT(CHOOSE({1,2},D3:D95,TabCalc[Ann%RevLB]),2,-1)</f>
        <v>RIGL</v>
      </c>
      <c r="AR3" s="99">
        <f ca="1"/>
        <v>4.7182271693759121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MRNA</v>
      </c>
      <c r="F4" s="599">
        <f ca="1"/>
        <v>3.179281276546623</v>
      </c>
      <c r="G4" s="165" t="str">
        <f ca="1"/>
        <v>NFLX</v>
      </c>
      <c r="H4" s="600">
        <f ca="1"/>
        <v>1534312.99</v>
      </c>
      <c r="I4" t="str">
        <v>BLNK</v>
      </c>
      <c r="J4" s="601">
        <v>7.2000000000000008E-2</v>
      </c>
      <c r="K4" s="165" t="str">
        <f ca="1"/>
        <v>BLNK</v>
      </c>
      <c r="L4" s="601">
        <f ca="1"/>
        <v>7.2000000000000008E-2</v>
      </c>
      <c r="M4" s="1" t="str">
        <f ca="1"/>
        <v>NEM</v>
      </c>
      <c r="N4" s="600">
        <f ca="1"/>
        <v>472887.39197530865</v>
      </c>
      <c r="O4" t="str">
        <f ca="1"/>
        <v>GLE</v>
      </c>
      <c r="P4" s="600">
        <f ca="1"/>
        <v>52189.2</v>
      </c>
      <c r="Q4" t="str">
        <f ca="1"/>
        <v>BLNK</v>
      </c>
      <c r="R4" s="705">
        <f ca="1"/>
        <v>2.6439821428571431E-2</v>
      </c>
      <c r="S4" t="str">
        <f ca="1"/>
        <v>MSFT</v>
      </c>
      <c r="T4" s="96">
        <f ca="1"/>
        <v>33150</v>
      </c>
      <c r="U4" t="str">
        <f ca="1"/>
        <v>BLNK</v>
      </c>
      <c r="V4" s="96">
        <f ca="1"/>
        <v>24000</v>
      </c>
      <c r="W4" t="str">
        <v>ASML</v>
      </c>
      <c r="X4">
        <v>1</v>
      </c>
      <c r="Y4" t="str">
        <v>KR</v>
      </c>
      <c r="Z4">
        <v>1</v>
      </c>
      <c r="AA4" t="str">
        <v>WBA</v>
      </c>
      <c r="AB4">
        <v>72</v>
      </c>
      <c r="AC4" t="str">
        <v>NEM</v>
      </c>
      <c r="AD4">
        <v>85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40489.999999999978</v>
      </c>
      <c r="AI4" t="str">
        <f ca="1"/>
        <v>EPIX</v>
      </c>
      <c r="AJ4" s="96">
        <f ca="1"/>
        <v>55671</v>
      </c>
      <c r="AK4" s="99" t="str">
        <f ca="1"/>
        <v>BLNK</v>
      </c>
      <c r="AL4" s="333">
        <f ca="1"/>
        <v>2.6439821428571431E-2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-0.48410372779341815</v>
      </c>
      <c r="AQ4" s="96" t="str">
        <f ca="1"/>
        <v>ASML</v>
      </c>
      <c r="AR4" s="99">
        <f ca="1"/>
        <v>3.9112825458052014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SAFMRNA</v>
      </c>
      <c r="F5" s="599">
        <f ca="1"/>
        <v>3.179281276546623</v>
      </c>
      <c r="G5" s="165" t="str">
        <f ca="1"/>
        <v>EOAN</v>
      </c>
      <c r="H5" s="600">
        <f ca="1"/>
        <v>1163733.75</v>
      </c>
      <c r="I5" t="str">
        <v>LAZR</v>
      </c>
      <c r="J5" s="601">
        <v>6.2146999999999994E-2</v>
      </c>
      <c r="K5" s="165" t="str">
        <f ca="1"/>
        <v>LAZR</v>
      </c>
      <c r="L5" s="601">
        <f ca="1"/>
        <v>6.2146999999999994E-2</v>
      </c>
      <c r="M5" s="1" t="str">
        <f ca="1"/>
        <v>IAG</v>
      </c>
      <c r="N5" s="600">
        <f ca="1"/>
        <v>466762.02</v>
      </c>
      <c r="O5" t="str">
        <f ca="1"/>
        <v>X</v>
      </c>
      <c r="P5" s="600">
        <f ca="1"/>
        <v>29753.829000000009</v>
      </c>
      <c r="Q5" t="str">
        <f ca="1"/>
        <v>TSLA</v>
      </c>
      <c r="R5" s="705">
        <f ca="1"/>
        <v>2.2289922619047615E-2</v>
      </c>
      <c r="S5" t="str">
        <f ca="1"/>
        <v>AET</v>
      </c>
      <c r="T5" s="96">
        <f ca="1"/>
        <v>14040</v>
      </c>
      <c r="U5" t="str">
        <f ca="1"/>
        <v>AET</v>
      </c>
      <c r="V5" s="96">
        <f ca="1"/>
        <v>17160</v>
      </c>
      <c r="W5" t="str">
        <v>BLDP</v>
      </c>
      <c r="X5">
        <v>1</v>
      </c>
      <c r="Y5" t="str">
        <v>LNSR</v>
      </c>
      <c r="Z5">
        <v>1</v>
      </c>
      <c r="AA5" t="str">
        <v>THC</v>
      </c>
      <c r="AB5">
        <v>72</v>
      </c>
      <c r="AC5" t="str">
        <v>LUMN</v>
      </c>
      <c r="AD5">
        <v>78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38620.000000000007</v>
      </c>
      <c r="AI5" t="str">
        <f ca="1"/>
        <v>DDD</v>
      </c>
      <c r="AJ5" s="96">
        <f ca="1"/>
        <v>36224.999999999993</v>
      </c>
      <c r="AK5" s="99" t="str">
        <f ca="1"/>
        <v>TSLA</v>
      </c>
      <c r="AL5" s="333">
        <f ca="1"/>
        <v>2.2289922619047615E-2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-0.45936342996856439</v>
      </c>
      <c r="AQ5" s="96" t="str">
        <f ca="1"/>
        <v>NEM</v>
      </c>
      <c r="AR5" s="99">
        <f ca="1"/>
        <v>2.5395566026594154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PFE</v>
      </c>
      <c r="F6" s="599">
        <f ca="1"/>
        <v>2.1864489741497417</v>
      </c>
      <c r="G6" s="165" t="str">
        <f ca="1"/>
        <v>NEM</v>
      </c>
      <c r="H6" s="600">
        <f ca="1"/>
        <v>1107696.27</v>
      </c>
      <c r="I6" t="str">
        <v>LNSR</v>
      </c>
      <c r="J6" s="601">
        <v>2.8029999999999999E-2</v>
      </c>
      <c r="K6" s="165" t="str">
        <f ca="1"/>
        <v>LNSR</v>
      </c>
      <c r="L6" s="601">
        <f ca="1"/>
        <v>2.8029999999999999E-2</v>
      </c>
      <c r="M6" s="1" t="str">
        <f ca="1"/>
        <v>TSM</v>
      </c>
      <c r="N6" s="600">
        <f ca="1"/>
        <v>390819.42199999996</v>
      </c>
      <c r="O6" t="str">
        <f ca="1"/>
        <v>TSLA</v>
      </c>
      <c r="P6" s="600">
        <f ca="1"/>
        <v>24123.44025</v>
      </c>
      <c r="Q6" t="str">
        <f ca="1"/>
        <v>LUMN</v>
      </c>
      <c r="R6" s="705">
        <f ca="1"/>
        <v>2.0694994047619042E-2</v>
      </c>
      <c r="S6" t="str">
        <f ca="1"/>
        <v>BLNK</v>
      </c>
      <c r="T6" s="96">
        <f ca="1"/>
        <v>12800</v>
      </c>
      <c r="U6" t="str">
        <f ca="1"/>
        <v>HPE</v>
      </c>
      <c r="V6" s="96">
        <f ca="1"/>
        <v>7440</v>
      </c>
      <c r="W6" t="str">
        <v>C</v>
      </c>
      <c r="X6">
        <v>1</v>
      </c>
      <c r="Y6" t="str">
        <v>MSFT</v>
      </c>
      <c r="Z6">
        <v>1</v>
      </c>
      <c r="AA6" t="str">
        <v>CVS</v>
      </c>
      <c r="AB6">
        <v>71</v>
      </c>
      <c r="AC6" t="str">
        <v>ASML</v>
      </c>
      <c r="AD6">
        <v>74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37546.600008000001</v>
      </c>
      <c r="AI6" t="str">
        <f ca="1"/>
        <v>XPER</v>
      </c>
      <c r="AJ6" s="96">
        <f ca="1"/>
        <v>32544.000000000004</v>
      </c>
      <c r="AK6" s="99" t="str">
        <f ca="1"/>
        <v>LUMN</v>
      </c>
      <c r="AL6" s="333">
        <f ca="1"/>
        <v>2.0694994047619042E-2</v>
      </c>
      <c r="AM6" t="str">
        <f ca="1"/>
        <v>DIS</v>
      </c>
      <c r="AN6" s="333" t="str">
        <f ca="1"/>
        <v/>
      </c>
      <c r="AO6" t="str">
        <f ca="1"/>
        <v>IAG</v>
      </c>
      <c r="AP6" s="333">
        <f ca="1"/>
        <v>-0.45505189063408963</v>
      </c>
      <c r="AQ6" s="96" t="str">
        <f ca="1"/>
        <v>THC</v>
      </c>
      <c r="AR6" s="99">
        <f ca="1"/>
        <v>1.9547742871626235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TSLA</v>
      </c>
      <c r="F7" s="599">
        <f ca="1"/>
        <v>2.1738133239969519</v>
      </c>
      <c r="G7" s="165" t="str">
        <f ca="1"/>
        <v>IAG</v>
      </c>
      <c r="H7" s="600">
        <f ca="1"/>
        <v>1107630.1671</v>
      </c>
      <c r="I7" t="str">
        <v>UN0</v>
      </c>
      <c r="J7" s="601">
        <v>2.5459999999999997E-2</v>
      </c>
      <c r="K7" s="165" t="str">
        <f ca="1"/>
        <v>UN0</v>
      </c>
      <c r="L7" s="601">
        <f ca="1"/>
        <v>2.5459999999999997E-2</v>
      </c>
      <c r="M7" s="1" t="str">
        <f ca="1"/>
        <v>LOCK</v>
      </c>
      <c r="N7" s="600">
        <f ca="1"/>
        <v>382493.10000000003</v>
      </c>
      <c r="O7" t="str">
        <f ca="1"/>
        <v>XYZ</v>
      </c>
      <c r="P7" s="600">
        <f ca="1"/>
        <v>23142.000000000004</v>
      </c>
      <c r="Q7" t="str">
        <f ca="1"/>
        <v>UNIT</v>
      </c>
      <c r="R7" s="705">
        <f ca="1"/>
        <v>1.6044749999999997E-2</v>
      </c>
      <c r="S7" t="str">
        <f ca="1"/>
        <v>ASML</v>
      </c>
      <c r="T7" s="96">
        <f ca="1"/>
        <v>9539.9999999995343</v>
      </c>
      <c r="U7" t="str">
        <f ca="1"/>
        <v>NOTE</v>
      </c>
      <c r="V7" s="96">
        <f ca="1"/>
        <v>6000.0749999999971</v>
      </c>
      <c r="W7" t="str">
        <v>CVS</v>
      </c>
      <c r="X7">
        <v>1</v>
      </c>
      <c r="Y7" t="str">
        <v>TSLA</v>
      </c>
      <c r="Z7">
        <v>1</v>
      </c>
      <c r="AA7" t="str">
        <v>LUMN</v>
      </c>
      <c r="AB7">
        <v>70</v>
      </c>
      <c r="AC7" t="str">
        <v>SAFASML</v>
      </c>
      <c r="AD7">
        <v>74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33799.999999999956</v>
      </c>
      <c r="AI7" t="str">
        <f ca="1"/>
        <v>NVAX</v>
      </c>
      <c r="AJ7" s="96">
        <f ca="1"/>
        <v>26884.999999999993</v>
      </c>
      <c r="AK7" s="99" t="str">
        <f ca="1"/>
        <v>UNIT</v>
      </c>
      <c r="AL7" s="333">
        <f ca="1"/>
        <v>1.6044749999999997E-2</v>
      </c>
      <c r="AM7" t="str">
        <f ca="1"/>
        <v>DSY</v>
      </c>
      <c r="AN7" s="333" t="str">
        <f ca="1"/>
        <v/>
      </c>
      <c r="AO7" t="str">
        <f ca="1"/>
        <v>GNRC</v>
      </c>
      <c r="AP7" s="333">
        <f ca="1"/>
        <v>-0.4519223572164669</v>
      </c>
      <c r="AQ7" s="96" t="str">
        <f ca="1"/>
        <v>EOAN</v>
      </c>
      <c r="AR7" s="99">
        <f ca="1"/>
        <v>1.8146143437077158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GM</v>
      </c>
      <c r="F8" s="599">
        <f ca="1"/>
        <v>1.8756512069792939</v>
      </c>
      <c r="G8" s="165" t="str">
        <f ca="1"/>
        <v>AMZN</v>
      </c>
      <c r="H8" s="600">
        <f ca="1"/>
        <v>776762.78</v>
      </c>
      <c r="I8" t="str">
        <v>MVEUN0</v>
      </c>
      <c r="J8" s="601">
        <v>2.5459999999999997E-2</v>
      </c>
      <c r="K8" s="165" t="str">
        <f ca="1"/>
        <v>MVEUN0</v>
      </c>
      <c r="L8" s="601">
        <f ca="1"/>
        <v>2.5459999999999997E-2</v>
      </c>
      <c r="M8" s="1" t="str">
        <f ca="1"/>
        <v>AAPL</v>
      </c>
      <c r="N8" s="600">
        <f ca="1"/>
        <v>360143.40648648655</v>
      </c>
      <c r="O8" t="str">
        <f ca="1"/>
        <v>AVGO</v>
      </c>
      <c r="P8" s="600">
        <f ca="1"/>
        <v>20682.165000000005</v>
      </c>
      <c r="Q8" t="str">
        <f ca="1"/>
        <v>RIG</v>
      </c>
      <c r="R8" s="705">
        <f ca="1"/>
        <v>1.5297238095238093E-2</v>
      </c>
      <c r="S8" t="str">
        <f ca="1"/>
        <v>ALDNE</v>
      </c>
      <c r="T8" s="96">
        <f ca="1"/>
        <v>5060</v>
      </c>
      <c r="U8" t="str">
        <f ca="1"/>
        <v>SAP</v>
      </c>
      <c r="V8" s="96">
        <f ca="1"/>
        <v>5750</v>
      </c>
      <c r="W8" t="str">
        <v>RWE</v>
      </c>
      <c r="X8">
        <v>1</v>
      </c>
      <c r="Y8" t="str">
        <v>MVEEOAN</v>
      </c>
      <c r="Z8">
        <v>1</v>
      </c>
      <c r="AA8" t="str">
        <v>ASML</v>
      </c>
      <c r="AB8">
        <v>69</v>
      </c>
      <c r="AC8" t="str">
        <v>PAAS</v>
      </c>
      <c r="AD8">
        <v>72</v>
      </c>
      <c r="AE8" t="str">
        <f ca="1"/>
        <v>CVS</v>
      </c>
      <c r="AF8" s="96">
        <f ca="1"/>
        <v>0</v>
      </c>
      <c r="AG8" t="str">
        <f ca="1"/>
        <v>IAG</v>
      </c>
      <c r="AH8" s="96">
        <f ca="1"/>
        <v>26597.600000000002</v>
      </c>
      <c r="AI8" t="str">
        <f ca="1"/>
        <v>BLNK</v>
      </c>
      <c r="AJ8" s="96">
        <f ca="1"/>
        <v>26809.5</v>
      </c>
      <c r="AK8" s="99" t="str">
        <f ca="1"/>
        <v>RIG</v>
      </c>
      <c r="AL8" s="333">
        <f ca="1"/>
        <v>1.5297238095238093E-2</v>
      </c>
      <c r="AM8" t="str">
        <f ca="1"/>
        <v>KR</v>
      </c>
      <c r="AN8" s="333" t="str">
        <f ca="1"/>
        <v/>
      </c>
      <c r="AO8" t="str">
        <f ca="1"/>
        <v>X</v>
      </c>
      <c r="AP8" s="333">
        <f ca="1"/>
        <v>-0.43799952589350849</v>
      </c>
      <c r="AQ8" s="96" t="str">
        <f ca="1"/>
        <v>JBEOAN</v>
      </c>
      <c r="AR8" s="99">
        <f ca="1"/>
        <v>1.7125506072874495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SAFGM</v>
      </c>
      <c r="F9" s="599">
        <f ca="1"/>
        <v>1.8756512069792939</v>
      </c>
      <c r="G9" s="165" t="str">
        <f ca="1"/>
        <v>AAPL</v>
      </c>
      <c r="H9" s="600">
        <f ca="1"/>
        <v>773590.39000000013</v>
      </c>
      <c r="I9" t="str">
        <v>PROF</v>
      </c>
      <c r="J9" s="601">
        <v>2.0202000000000001E-2</v>
      </c>
      <c r="K9" s="165" t="str">
        <f ca="1"/>
        <v>PROF</v>
      </c>
      <c r="L9" s="601">
        <f ca="1"/>
        <v>2.0202000000000001E-2</v>
      </c>
      <c r="M9" s="1" t="str">
        <f ca="1"/>
        <v>AMZN</v>
      </c>
      <c r="N9" s="600">
        <f ca="1"/>
        <v>310031.78000000038</v>
      </c>
      <c r="O9" t="str">
        <f ca="1"/>
        <v>SAFGM</v>
      </c>
      <c r="P9" s="600">
        <f ca="1"/>
        <v>19693.842000000001</v>
      </c>
      <c r="Q9" t="str">
        <f ca="1"/>
        <v>AVGO</v>
      </c>
      <c r="R9" s="705">
        <f ca="1"/>
        <v>1.3355922619047618E-2</v>
      </c>
      <c r="S9" t="str">
        <f ca="1"/>
        <v>JBEOAN</v>
      </c>
      <c r="T9" s="96">
        <f ca="1"/>
        <v>2975</v>
      </c>
      <c r="U9" t="str">
        <f ca="1"/>
        <v>MVEENI</v>
      </c>
      <c r="V9" s="96">
        <f ca="1"/>
        <v>5520</v>
      </c>
      <c r="W9" t="str">
        <v>TSLA</v>
      </c>
      <c r="X9">
        <v>1</v>
      </c>
      <c r="Y9" t="str">
        <v>LAZR</v>
      </c>
      <c r="Z9">
        <v>1</v>
      </c>
      <c r="AA9" t="str">
        <v>SAFASML</v>
      </c>
      <c r="AB9">
        <v>69</v>
      </c>
      <c r="AC9" t="str">
        <v>LOCK</v>
      </c>
      <c r="AD9">
        <v>72</v>
      </c>
      <c r="AE9" t="str">
        <f ca="1"/>
        <v>EOAN</v>
      </c>
      <c r="AF9" s="96">
        <f ca="1"/>
        <v>0</v>
      </c>
      <c r="AG9" t="str">
        <f ca="1"/>
        <v>AMZN</v>
      </c>
      <c r="AH9" s="96">
        <f ca="1"/>
        <v>26259.999999999993</v>
      </c>
      <c r="AI9" t="str">
        <f ca="1"/>
        <v>DXC</v>
      </c>
      <c r="AJ9" s="96">
        <f ca="1"/>
        <v>25160.000000000004</v>
      </c>
      <c r="AK9" s="99" t="str">
        <f ca="1"/>
        <v>AVGO</v>
      </c>
      <c r="AL9" s="333">
        <f ca="1"/>
        <v>1.3355922619047618E-2</v>
      </c>
      <c r="AM9" t="str">
        <f ca="1"/>
        <v>NEE</v>
      </c>
      <c r="AN9" s="333" t="str">
        <f ca="1"/>
        <v/>
      </c>
      <c r="AO9" t="str">
        <f ca="1"/>
        <v>AVGO</v>
      </c>
      <c r="AP9" s="333">
        <f ca="1"/>
        <v>-0.4334302169275413</v>
      </c>
      <c r="AQ9" s="96" t="str">
        <f ca="1"/>
        <v>NEE</v>
      </c>
      <c r="AR9" s="99">
        <f ca="1"/>
        <v>1.6721059050293339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BLNK</v>
      </c>
      <c r="F10" s="599">
        <f ca="1"/>
        <v>1.6077873897209047</v>
      </c>
      <c r="G10" s="165" t="str">
        <f ca="1"/>
        <v>TSM</v>
      </c>
      <c r="H10" s="600">
        <f ca="1"/>
        <v>769370.92200000002</v>
      </c>
      <c r="I10" t="str">
        <v>MSFT</v>
      </c>
      <c r="J10" s="601">
        <v>1.7743999999999999E-2</v>
      </c>
      <c r="K10" s="165" t="str">
        <f ca="1"/>
        <v>MSFT</v>
      </c>
      <c r="L10" s="601">
        <f ca="1"/>
        <v>1.7743999999999999E-2</v>
      </c>
      <c r="M10" s="1" t="str">
        <f ca="1"/>
        <v>ASML</v>
      </c>
      <c r="N10" s="600">
        <f ca="1"/>
        <v>188081</v>
      </c>
      <c r="O10" t="str">
        <f ca="1"/>
        <v>GS</v>
      </c>
      <c r="P10" s="600">
        <f ca="1"/>
        <v>14752.326750000004</v>
      </c>
      <c r="Q10" t="str">
        <f ca="1"/>
        <v>TSM</v>
      </c>
      <c r="R10" s="705">
        <f ca="1"/>
        <v>1.230345238095238E-2</v>
      </c>
      <c r="S10" t="str">
        <f ca="1"/>
        <v>SAP</v>
      </c>
      <c r="T10" s="96">
        <f ca="1"/>
        <v>2500</v>
      </c>
      <c r="U10" t="str">
        <f ca="1"/>
        <v>ALDNE</v>
      </c>
      <c r="V10" s="96">
        <f ca="1"/>
        <v>5060</v>
      </c>
      <c r="W10" t="str">
        <v>MVERWE</v>
      </c>
      <c r="X10">
        <v>1</v>
      </c>
      <c r="Y10" t="str">
        <v>X</v>
      </c>
      <c r="Z10">
        <v>1</v>
      </c>
      <c r="AA10" t="str">
        <v>NEM</v>
      </c>
      <c r="AB10">
        <v>68</v>
      </c>
      <c r="AC10" t="str">
        <v>HPE</v>
      </c>
      <c r="AD10">
        <v>71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24129.999999999996</v>
      </c>
      <c r="AI10" t="str">
        <f ca="1"/>
        <v>MVESAP</v>
      </c>
      <c r="AJ10" s="96">
        <f ca="1"/>
        <v>23290.000000000007</v>
      </c>
      <c r="AK10" s="99" t="str">
        <f ca="1"/>
        <v>TSM</v>
      </c>
      <c r="AL10" s="333">
        <f ca="1"/>
        <v>1.230345238095238E-2</v>
      </c>
      <c r="AM10" t="str">
        <f ca="1"/>
        <v>TSM</v>
      </c>
      <c r="AN10" s="333" t="str">
        <f ca="1"/>
        <v/>
      </c>
      <c r="AO10" t="str">
        <f ca="1"/>
        <v>NEM</v>
      </c>
      <c r="AP10" s="333">
        <f ca="1"/>
        <v>-0.42263409464890783</v>
      </c>
      <c r="AQ10" s="96" t="str">
        <f ca="1"/>
        <v>PAAS</v>
      </c>
      <c r="AR10" s="99">
        <f ca="1"/>
        <v>1.5556111160905925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NVS</v>
      </c>
      <c r="F11" s="599">
        <f ca="1"/>
        <v>1.6076160084589681</v>
      </c>
      <c r="G11" s="165" t="str">
        <f ca="1"/>
        <v>LOCK</v>
      </c>
      <c r="H11" s="600">
        <f ca="1"/>
        <v>382493.1</v>
      </c>
      <c r="I11" t="str">
        <v>AAPL</v>
      </c>
      <c r="J11" s="601">
        <v>1.7562999999999999E-2</v>
      </c>
      <c r="K11" s="165" t="str">
        <f ca="1"/>
        <v>AAPL</v>
      </c>
      <c r="L11" s="601">
        <f ca="1"/>
        <v>1.7562999999999999E-2</v>
      </c>
      <c r="M11" s="1" t="str">
        <f ca="1"/>
        <v>THC</v>
      </c>
      <c r="N11" s="600">
        <f ca="1"/>
        <v>105371.64999999998</v>
      </c>
      <c r="O11" t="str">
        <f ca="1"/>
        <v>LNSR</v>
      </c>
      <c r="P11" s="600">
        <f ca="1"/>
        <v>11999.925000000001</v>
      </c>
      <c r="Q11" t="str">
        <f ca="1"/>
        <v>MVEGLE</v>
      </c>
      <c r="R11" s="705">
        <f ca="1"/>
        <v>1.0399148809523808E-2</v>
      </c>
      <c r="S11" t="str">
        <f ca="1"/>
        <v>SAFAAPL</v>
      </c>
      <c r="T11" s="96">
        <f ca="1"/>
        <v>2425</v>
      </c>
      <c r="U11" t="str">
        <f ca="1"/>
        <v>KR</v>
      </c>
      <c r="V11" s="96">
        <f ca="1"/>
        <v>4069.7999999999884</v>
      </c>
      <c r="W11" t="str">
        <v>SAFASML</v>
      </c>
      <c r="X11">
        <v>1</v>
      </c>
      <c r="Y11" t="str">
        <v>JBEOAN</v>
      </c>
      <c r="Z11">
        <v>1</v>
      </c>
      <c r="AA11" t="str">
        <v>DSY</v>
      </c>
      <c r="AB11">
        <v>64</v>
      </c>
      <c r="AC11" t="str">
        <v>TSLA</v>
      </c>
      <c r="AD11">
        <v>71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23295</v>
      </c>
      <c r="AI11" t="str">
        <f ca="1"/>
        <v>SAP</v>
      </c>
      <c r="AJ11" s="96">
        <f ca="1"/>
        <v>22075.000000000004</v>
      </c>
      <c r="AK11" s="99" t="str">
        <f ca="1"/>
        <v>MVEGLE</v>
      </c>
      <c r="AL11" s="333">
        <f ca="1"/>
        <v>1.0399148809523808E-2</v>
      </c>
      <c r="AM11" t="str">
        <f ca="1"/>
        <v>SAFAMZN</v>
      </c>
      <c r="AN11" s="333" t="str">
        <f ca="1"/>
        <v/>
      </c>
      <c r="AO11" t="str">
        <f ca="1"/>
        <v>MSFT</v>
      </c>
      <c r="AP11" s="333">
        <f ca="1"/>
        <v>-0.37685769797230512</v>
      </c>
      <c r="AQ11" s="96" t="str">
        <f ca="1"/>
        <v>BLNK</v>
      </c>
      <c r="AR11" s="99">
        <f ca="1"/>
        <v>1.4958954089388874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LUV</v>
      </c>
      <c r="F12" s="599">
        <f ca="1"/>
        <v>1.4239880871987247</v>
      </c>
      <c r="G12" s="165" t="str">
        <f ca="1"/>
        <v>THC</v>
      </c>
      <c r="H12" s="600">
        <f ca="1"/>
        <v>272871.848</v>
      </c>
      <c r="I12" t="str">
        <v>SAFAAPL</v>
      </c>
      <c r="J12" s="601">
        <v>1.7562999999999999E-2</v>
      </c>
      <c r="K12" s="165" t="str">
        <f ca="1"/>
        <v>SAFAAPL</v>
      </c>
      <c r="L12" s="601">
        <f ca="1"/>
        <v>1.7562999999999999E-2</v>
      </c>
      <c r="M12" s="1" t="str">
        <f ca="1"/>
        <v>SAFAMZN</v>
      </c>
      <c r="N12" s="600">
        <f ca="1"/>
        <v>56425.000000000015</v>
      </c>
      <c r="O12" t="str">
        <f ca="1"/>
        <v>GM</v>
      </c>
      <c r="P12" s="600">
        <f ca="1"/>
        <v>10736.371800000001</v>
      </c>
      <c r="Q12" t="str">
        <f ca="1"/>
        <v>GLE</v>
      </c>
      <c r="R12" s="705">
        <f ca="1"/>
        <v>1.0399148809523808E-2</v>
      </c>
      <c r="S12" t="str">
        <f ca="1"/>
        <v>KR</v>
      </c>
      <c r="T12" s="96">
        <f ca="1"/>
        <v>2420.6000000000349</v>
      </c>
      <c r="U12" t="str">
        <f ca="1"/>
        <v>BLDP</v>
      </c>
      <c r="V12" s="96">
        <f ca="1"/>
        <v>3639.9999999999927</v>
      </c>
      <c r="W12" t="str">
        <v>BLNK</v>
      </c>
      <c r="X12">
        <v>1</v>
      </c>
      <c r="Y12" t="str">
        <v>UN0</v>
      </c>
      <c r="Z12">
        <v>2</v>
      </c>
      <c r="AA12" t="str">
        <v>MVEDSY</v>
      </c>
      <c r="AB12">
        <v>64</v>
      </c>
      <c r="AC12" t="str">
        <v>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19720.499999999996</v>
      </c>
      <c r="AI12" t="str">
        <f ca="1"/>
        <v>SAFMRNA</v>
      </c>
      <c r="AJ12" s="96">
        <f ca="1"/>
        <v>20117.999999999996</v>
      </c>
      <c r="AK12" s="99" t="str">
        <f ca="1"/>
        <v>GLE</v>
      </c>
      <c r="AL12" s="333">
        <f ca="1"/>
        <v>1.0399148809523808E-2</v>
      </c>
      <c r="AM12" t="str">
        <f ca="1"/>
        <v>SAFDDD</v>
      </c>
      <c r="AN12" s="333" t="str">
        <f ca="1"/>
        <v/>
      </c>
      <c r="AO12" t="str">
        <f ca="1"/>
        <v>C</v>
      </c>
      <c r="AP12" s="333">
        <f ca="1"/>
        <v>-0.37171994370727784</v>
      </c>
      <c r="AQ12" s="96" t="str">
        <f ca="1"/>
        <v>GLE</v>
      </c>
      <c r="AR12" s="99">
        <f ca="1"/>
        <v>1.4801995435354511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RRC</v>
      </c>
      <c r="F13" s="599">
        <f ca="1"/>
        <v>1.3919199362700079</v>
      </c>
      <c r="G13" s="165" t="str">
        <f ca="1"/>
        <v>JBEOAN</v>
      </c>
      <c r="H13" s="600">
        <f ca="1"/>
        <v>261008.09900000002</v>
      </c>
      <c r="I13" t="str">
        <v>KR</v>
      </c>
      <c r="J13" s="601">
        <v>1.5767E-2</v>
      </c>
      <c r="K13" s="165" t="str">
        <f ca="1"/>
        <v>KR</v>
      </c>
      <c r="L13" s="601">
        <f ca="1"/>
        <v>1.5767E-2</v>
      </c>
      <c r="M13" s="1" t="str">
        <f ca="1"/>
        <v>AVGO</v>
      </c>
      <c r="N13" s="600">
        <f ca="1"/>
        <v>54277.600008000001</v>
      </c>
      <c r="O13" t="str">
        <f ca="1"/>
        <v>MVERWE</v>
      </c>
      <c r="P13" s="600">
        <f ca="1"/>
        <v>10251.736425000001</v>
      </c>
      <c r="Q13" t="str">
        <f ca="1"/>
        <v>ADEA</v>
      </c>
      <c r="R13" s="705">
        <f ca="1"/>
        <v>1.0005807142857145E-2</v>
      </c>
      <c r="S13" t="str">
        <f ca="1"/>
        <v>MVEDSY</v>
      </c>
      <c r="T13" s="96">
        <f ca="1"/>
        <v>2280</v>
      </c>
      <c r="U13" t="str">
        <f ca="1"/>
        <v>NEE</v>
      </c>
      <c r="V13" s="96">
        <f ca="1"/>
        <v>2378</v>
      </c>
      <c r="W13" t="str">
        <v>RIG</v>
      </c>
      <c r="X13">
        <v>1</v>
      </c>
      <c r="Y13" t="str">
        <v>MVEUN0</v>
      </c>
      <c r="Z13">
        <v>2</v>
      </c>
      <c r="AA13" t="str">
        <v>LOCK</v>
      </c>
      <c r="AB13">
        <v>63</v>
      </c>
      <c r="AC13" t="str">
        <v>RRC</v>
      </c>
      <c r="AD13">
        <v>70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17950</v>
      </c>
      <c r="AI13" t="str">
        <f ca="1"/>
        <v>EZJ</v>
      </c>
      <c r="AJ13" s="96">
        <f ca="1"/>
        <v>13482.000000000007</v>
      </c>
      <c r="AK13" s="99" t="str">
        <f ca="1"/>
        <v>ADEA</v>
      </c>
      <c r="AL13" s="333">
        <f ca="1"/>
        <v>1.0005807142857145E-2</v>
      </c>
      <c r="AM13" t="str">
        <f ca="1"/>
        <v>BLNK</v>
      </c>
      <c r="AN13" s="333" t="str">
        <f ca="1"/>
        <v/>
      </c>
      <c r="AO13" t="str">
        <f ca="1"/>
        <v>PAAS</v>
      </c>
      <c r="AP13" s="333">
        <f ca="1"/>
        <v>-0.33562891796129729</v>
      </c>
      <c r="AQ13" s="96" t="str">
        <f ca="1"/>
        <v>C</v>
      </c>
      <c r="AR13" s="99">
        <f ca="1"/>
        <v>1.4237967050716058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NFLX</v>
      </c>
      <c r="F14" s="599">
        <f ca="1"/>
        <v>1.3793701530863187</v>
      </c>
      <c r="G14" s="165" t="str">
        <f ca="1"/>
        <v>HPE</v>
      </c>
      <c r="H14" s="600">
        <f ca="1"/>
        <v>187692</v>
      </c>
      <c r="I14" t="str">
        <v>EOAN</v>
      </c>
      <c r="J14" s="601">
        <v>1.5038000000000001E-2</v>
      </c>
      <c r="K14" s="165" t="str">
        <f ca="1"/>
        <v>EOAN</v>
      </c>
      <c r="L14" s="601">
        <f ca="1"/>
        <v>1.5038000000000001E-2</v>
      </c>
      <c r="M14" s="1" t="str">
        <f ca="1"/>
        <v>HPE</v>
      </c>
      <c r="N14" s="600">
        <f ca="1"/>
        <v>54147.667999999998</v>
      </c>
      <c r="O14" t="str">
        <f ca="1"/>
        <v>MVEGLE</v>
      </c>
      <c r="P14" s="600">
        <f ca="1"/>
        <v>9765.5249999999996</v>
      </c>
      <c r="Q14" t="str">
        <f ca="1"/>
        <v>PROF</v>
      </c>
      <c r="R14" s="705">
        <f ca="1"/>
        <v>9.7877297619047635E-3</v>
      </c>
      <c r="S14" t="str">
        <f ca="1"/>
        <v>UN0</v>
      </c>
      <c r="T14" s="96">
        <f ca="1"/>
        <v>2250</v>
      </c>
      <c r="U14" t="str">
        <f ca="1"/>
        <v>MVEDSY</v>
      </c>
      <c r="V14" s="96">
        <f ca="1"/>
        <v>1560</v>
      </c>
      <c r="W14" t="str">
        <v>RRC</v>
      </c>
      <c r="X14">
        <v>1</v>
      </c>
      <c r="Y14" t="str">
        <v>AAPL</v>
      </c>
      <c r="Z14">
        <v>3</v>
      </c>
      <c r="AA14" t="str">
        <v>VONN</v>
      </c>
      <c r="AB14">
        <v>61</v>
      </c>
      <c r="AC14" t="str">
        <v>TSM</v>
      </c>
      <c r="AD14">
        <v>69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15375.999999999991</v>
      </c>
      <c r="AI14" t="str">
        <f ca="1"/>
        <v>MVEDSY</v>
      </c>
      <c r="AJ14" s="96">
        <f ca="1"/>
        <v>12450</v>
      </c>
      <c r="AK14" s="99" t="str">
        <f ca="1"/>
        <v>PROF</v>
      </c>
      <c r="AL14" s="333">
        <f ca="1"/>
        <v>9.7877297619047635E-3</v>
      </c>
      <c r="AM14" t="str">
        <f ca="1"/>
        <v>MA</v>
      </c>
      <c r="AN14" s="333" t="str">
        <f ca="1"/>
        <v/>
      </c>
      <c r="AO14" t="str">
        <f ca="1"/>
        <v>LNSR</v>
      </c>
      <c r="AP14" s="333">
        <f ca="1"/>
        <v>-0.32407177225340816</v>
      </c>
      <c r="AQ14" s="96" t="str">
        <f ca="1"/>
        <v>AVGO</v>
      </c>
      <c r="AR14" s="99">
        <f ca="1"/>
        <v>1.3912420479421141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AVGO</v>
      </c>
      <c r="F15" s="599">
        <f ca="1"/>
        <v>1.2976772377132826</v>
      </c>
      <c r="G15" s="165" t="str">
        <f ca="1"/>
        <v>SAFIAG</v>
      </c>
      <c r="H15" s="600">
        <f ca="1"/>
        <v>177515</v>
      </c>
      <c r="I15" t="str">
        <v>MVEEOAN</v>
      </c>
      <c r="J15" s="601">
        <v>1.5038000000000001E-2</v>
      </c>
      <c r="K15" s="165" t="str">
        <f ca="1"/>
        <v>MVEEOAN</v>
      </c>
      <c r="L15" s="601">
        <f ca="1"/>
        <v>1.5038000000000001E-2</v>
      </c>
      <c r="M15" s="1" t="str">
        <f ca="1"/>
        <v>MVEENI</v>
      </c>
      <c r="N15" s="600">
        <f ca="1"/>
        <v>52660.199999999975</v>
      </c>
      <c r="O15" t="str">
        <f ca="1"/>
        <v>CVS</v>
      </c>
      <c r="P15" s="600">
        <f ca="1"/>
        <v>9168.2718749999967</v>
      </c>
      <c r="Q15" t="str">
        <f ca="1"/>
        <v>GS</v>
      </c>
      <c r="R15" s="705">
        <f ca="1"/>
        <v>9.6260869047619033E-3</v>
      </c>
      <c r="S15" t="str">
        <f ca="1"/>
        <v>NEE</v>
      </c>
      <c r="T15" s="96">
        <f ca="1"/>
        <v>2142</v>
      </c>
      <c r="U15" t="str">
        <f ca="1"/>
        <v>SAFAAPL</v>
      </c>
      <c r="V15" s="96">
        <f ca="1"/>
        <v>1361</v>
      </c>
      <c r="W15" t="str">
        <v>X</v>
      </c>
      <c r="X15">
        <v>1</v>
      </c>
      <c r="Y15" t="str">
        <v>PROF</v>
      </c>
      <c r="Z15">
        <v>3</v>
      </c>
      <c r="AA15" t="str">
        <v>XOM</v>
      </c>
      <c r="AB15">
        <v>60</v>
      </c>
      <c r="AC15" t="str">
        <v>BLNK</v>
      </c>
      <c r="AD15">
        <v>69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13120.000000000004</v>
      </c>
      <c r="AI15" t="str">
        <f ca="1"/>
        <v>PFE</v>
      </c>
      <c r="AJ15" s="96">
        <f ca="1"/>
        <v>12104.622000000003</v>
      </c>
      <c r="AK15" s="99" t="str">
        <f ca="1"/>
        <v>GS</v>
      </c>
      <c r="AL15" s="333">
        <f ca="1"/>
        <v>9.6260869047619033E-3</v>
      </c>
      <c r="AM15" t="str">
        <f ca="1"/>
        <v>RIG</v>
      </c>
      <c r="AN15" s="333" t="str">
        <f ca="1"/>
        <v/>
      </c>
      <c r="AO15" t="str">
        <f ca="1"/>
        <v>MVEEOAN</v>
      </c>
      <c r="AP15" s="333">
        <f ca="1"/>
        <v>-0.29010064412238323</v>
      </c>
      <c r="AQ15" s="96" t="str">
        <f ca="1"/>
        <v>IAG</v>
      </c>
      <c r="AR15" s="99">
        <f ca="1"/>
        <v>1.1723325705137924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AZN</v>
      </c>
      <c r="F16" s="599">
        <f ca="1"/>
        <v>1.2773783583068079</v>
      </c>
      <c r="G16" s="165" t="str">
        <f ca="1"/>
        <v>SAFAMZN</v>
      </c>
      <c r="H16" s="600">
        <f ca="1"/>
        <v>173823.84100000001</v>
      </c>
      <c r="I16" t="str">
        <v>JBEOAN</v>
      </c>
      <c r="J16" s="601">
        <v>1.5038000000000001E-2</v>
      </c>
      <c r="K16" s="165" t="str">
        <f ca="1"/>
        <v>JBEOAN</v>
      </c>
      <c r="L16" s="601">
        <f ca="1"/>
        <v>1.5038000000000001E-2</v>
      </c>
      <c r="M16" s="1" t="str">
        <f ca="1"/>
        <v>PAAS</v>
      </c>
      <c r="N16" s="600">
        <f ca="1"/>
        <v>48889.999999999985</v>
      </c>
      <c r="O16" t="str">
        <f ca="1"/>
        <v>MVEEOAN</v>
      </c>
      <c r="P16" s="600">
        <f ca="1"/>
        <v>8843.1866250000003</v>
      </c>
      <c r="Q16" t="str">
        <f ca="1"/>
        <v>BLDP</v>
      </c>
      <c r="R16" s="705">
        <f ca="1"/>
        <v>9.3374404761904766E-3</v>
      </c>
      <c r="S16" t="str">
        <f ca="1"/>
        <v>MVEENI</v>
      </c>
      <c r="T16" s="96">
        <f ca="1"/>
        <v>2080</v>
      </c>
      <c r="U16" t="str">
        <f ca="1"/>
        <v>LUV</v>
      </c>
      <c r="V16" s="96">
        <f ca="1"/>
        <v>1254</v>
      </c>
      <c r="W16" t="str">
        <v>DSY</v>
      </c>
      <c r="X16">
        <v>2</v>
      </c>
      <c r="Y16" t="str">
        <v>SAFAAPL</v>
      </c>
      <c r="Z16">
        <v>3</v>
      </c>
      <c r="AA16" t="str">
        <v>AZN</v>
      </c>
      <c r="AB16">
        <v>57</v>
      </c>
      <c r="AC16" t="str">
        <v>GS</v>
      </c>
      <c r="AD16">
        <v>68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10228.299999999996</v>
      </c>
      <c r="AI16" t="str">
        <f ca="1"/>
        <v>SAFDDD</v>
      </c>
      <c r="AJ16" s="96">
        <f ca="1"/>
        <v>11279.999999999998</v>
      </c>
      <c r="AK16" s="99" t="str">
        <f ca="1"/>
        <v>BLDP</v>
      </c>
      <c r="AL16" s="333">
        <f ca="1"/>
        <v>9.3374404761904766E-3</v>
      </c>
      <c r="AM16" t="str">
        <f ca="1"/>
        <v>JBEOAN</v>
      </c>
      <c r="AN16" s="333" t="str">
        <f ca="1"/>
        <v/>
      </c>
      <c r="AO16" t="str">
        <f ca="1"/>
        <v>TSM</v>
      </c>
      <c r="AP16" s="333">
        <f ca="1"/>
        <v>-0.27645356900020324</v>
      </c>
      <c r="AQ16" s="96" t="str">
        <f ca="1"/>
        <v>X</v>
      </c>
      <c r="AR16" s="99">
        <f ca="1"/>
        <v>1.1021109961556979</v>
      </c>
    </row>
    <row r="17" spans="1:44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NOTE</v>
      </c>
      <c r="F17" s="599">
        <f ca="1"/>
        <v>1.2741240486159375</v>
      </c>
      <c r="G17" s="165" t="str">
        <f ca="1"/>
        <v>VONN</v>
      </c>
      <c r="H17" s="600">
        <f ca="1"/>
        <v>159094.30999999994</v>
      </c>
      <c r="I17" t="str">
        <v>RIG</v>
      </c>
      <c r="J17" s="601">
        <v>1.3804E-2</v>
      </c>
      <c r="K17" s="165" t="str">
        <f ca="1"/>
        <v>RIG</v>
      </c>
      <c r="L17" s="601">
        <f ca="1"/>
        <v>1.3804E-2</v>
      </c>
      <c r="M17" s="1" t="str">
        <f ca="1"/>
        <v>MVEORA</v>
      </c>
      <c r="N17" s="600">
        <f ca="1"/>
        <v>40190.000000000007</v>
      </c>
      <c r="O17" t="str">
        <f ca="1"/>
        <v>XOM</v>
      </c>
      <c r="P17" s="600">
        <f ca="1"/>
        <v>8654.3099999999886</v>
      </c>
      <c r="Q17" t="str">
        <f ca="1"/>
        <v>UN0</v>
      </c>
      <c r="R17" s="705">
        <f ca="1"/>
        <v>8.8201904761904745E-3</v>
      </c>
      <c r="S17" t="str">
        <f ca="1"/>
        <v>THC</v>
      </c>
      <c r="T17" s="96">
        <f ca="1"/>
        <v>1430</v>
      </c>
      <c r="U17" t="str">
        <f ca="1"/>
        <v>UN0</v>
      </c>
      <c r="V17" s="96">
        <f ca="1"/>
        <v>1200</v>
      </c>
      <c r="W17" t="str">
        <v>HPE</v>
      </c>
      <c r="X17">
        <v>2</v>
      </c>
      <c r="Y17" t="str">
        <v>BLNK</v>
      </c>
      <c r="Z17">
        <v>4</v>
      </c>
      <c r="AA17" t="str">
        <v>TSLA</v>
      </c>
      <c r="AB17">
        <v>57</v>
      </c>
      <c r="AC17" t="str">
        <v>AVGO</v>
      </c>
      <c r="AD17">
        <v>66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10011.000000000002</v>
      </c>
      <c r="AI17" t="str">
        <f ca="1"/>
        <v>SSYS</v>
      </c>
      <c r="AJ17" s="96">
        <f ca="1"/>
        <v>8872.5998999999993</v>
      </c>
      <c r="AK17" s="99" t="str">
        <f ca="1"/>
        <v>UN0</v>
      </c>
      <c r="AL17" s="333">
        <f ca="1"/>
        <v>8.8201904761904745E-3</v>
      </c>
      <c r="AM17" t="str">
        <f ca="1"/>
        <v>LOCK</v>
      </c>
      <c r="AN17" s="333" t="str">
        <f ca="1"/>
        <v/>
      </c>
      <c r="AO17" t="str">
        <f ca="1"/>
        <v>CVS</v>
      </c>
      <c r="AP17" s="333">
        <f ca="1"/>
        <v>-0.25498446459527929</v>
      </c>
      <c r="AQ17" s="96" t="str">
        <f ca="1"/>
        <v>HPE</v>
      </c>
      <c r="AR17" s="99">
        <f ca="1"/>
        <v>1.08472322939328</v>
      </c>
    </row>
    <row r="18" spans="1:44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EOAN</v>
      </c>
      <c r="F18" s="599">
        <f ca="1"/>
        <v>1.2674223751841054</v>
      </c>
      <c r="G18" s="165" t="str">
        <f ca="1"/>
        <v>AZN</v>
      </c>
      <c r="H18" s="600">
        <f ca="1"/>
        <v>144784.39999999997</v>
      </c>
      <c r="I18" t="str">
        <v>BMRA</v>
      </c>
      <c r="J18" s="601">
        <v>1.0168999999999999E-2</v>
      </c>
      <c r="K18" s="165" t="str">
        <f ca="1"/>
        <v>BMRA</v>
      </c>
      <c r="L18" s="601">
        <f ca="1"/>
        <v>1.0168999999999999E-2</v>
      </c>
      <c r="M18" s="1" t="str">
        <f ca="1"/>
        <v>JBEOAN</v>
      </c>
      <c r="N18" s="600">
        <f ca="1"/>
        <v>39415</v>
      </c>
      <c r="O18" t="str">
        <f ca="1"/>
        <v>NVS</v>
      </c>
      <c r="P18" s="600">
        <f ca="1"/>
        <v>8424.6855000000032</v>
      </c>
      <c r="Q18" t="str">
        <f ca="1"/>
        <v>MVEUN0</v>
      </c>
      <c r="R18" s="705">
        <f ca="1"/>
        <v>8.8201904761904745E-3</v>
      </c>
      <c r="S18" t="str">
        <f ca="1"/>
        <v>LAZR</v>
      </c>
      <c r="T18" s="96">
        <f ca="1"/>
        <v>1319.0300000000025</v>
      </c>
      <c r="U18" t="str">
        <f ca="1"/>
        <v>RIGL</v>
      </c>
      <c r="V18" s="96">
        <f ca="1"/>
        <v>1196</v>
      </c>
      <c r="W18" t="str">
        <v>NEM</v>
      </c>
      <c r="X18">
        <v>2</v>
      </c>
      <c r="Y18" t="str">
        <v>NEE</v>
      </c>
      <c r="Z18">
        <v>5</v>
      </c>
      <c r="AA18" t="str">
        <v>HPE</v>
      </c>
      <c r="AB18">
        <v>56</v>
      </c>
      <c r="AC18" t="str">
        <v>MSFT</v>
      </c>
      <c r="AD18">
        <v>64</v>
      </c>
      <c r="AE18" t="str">
        <f ca="1"/>
        <v>NEE</v>
      </c>
      <c r="AF18" s="96">
        <f ca="1"/>
        <v>0</v>
      </c>
      <c r="AG18" t="str">
        <f ca="1"/>
        <v>AZN</v>
      </c>
      <c r="AH18" s="96">
        <f ca="1"/>
        <v>9719.9999999999982</v>
      </c>
      <c r="AI18" t="str">
        <f ca="1"/>
        <v>RIG</v>
      </c>
      <c r="AJ18" s="96">
        <f ca="1"/>
        <v>7584.9000000000005</v>
      </c>
      <c r="AK18" s="99" t="str">
        <f ca="1"/>
        <v>MVEUN0</v>
      </c>
      <c r="AL18" s="333">
        <f ca="1"/>
        <v>8.8201904761904745E-3</v>
      </c>
      <c r="AM18" t="str">
        <f ca="1"/>
        <v>LNSR</v>
      </c>
      <c r="AN18" s="333">
        <f ca="1"/>
        <v>2.2303453913223996</v>
      </c>
      <c r="AO18" t="str">
        <f ca="1"/>
        <v>THC</v>
      </c>
      <c r="AP18" s="333">
        <f ca="1"/>
        <v>-0.25109191646574214</v>
      </c>
      <c r="AQ18" s="96" t="str">
        <f ca="1"/>
        <v>SAFIAG</v>
      </c>
      <c r="AR18" s="99">
        <f ca="1"/>
        <v>0.9940019608973989</v>
      </c>
    </row>
    <row r="19" spans="1:44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MVEEOAN</v>
      </c>
      <c r="F19" s="599">
        <f ca="1"/>
        <v>1.2674223751841054</v>
      </c>
      <c r="G19" s="165" t="str">
        <f ca="1"/>
        <v>RIGL</v>
      </c>
      <c r="H19" s="600">
        <f ca="1"/>
        <v>137156.71000000014</v>
      </c>
      <c r="I19" t="str">
        <v>DSY</v>
      </c>
      <c r="J19" s="601">
        <v>9.894E-3</v>
      </c>
      <c r="K19" s="165" t="str">
        <f ca="1"/>
        <v>DSY</v>
      </c>
      <c r="L19" s="601">
        <f ca="1"/>
        <v>9.894E-3</v>
      </c>
      <c r="M19" s="1" t="str">
        <f ca="1"/>
        <v>RIGL</v>
      </c>
      <c r="N19" s="600">
        <f ca="1"/>
        <v>38620.000000000007</v>
      </c>
      <c r="O19" t="str">
        <f ca="1"/>
        <v>RWE</v>
      </c>
      <c r="P19" s="600">
        <f ca="1"/>
        <v>8203.44</v>
      </c>
      <c r="Q19" t="str">
        <f ca="1"/>
        <v>POET</v>
      </c>
      <c r="R19" s="705">
        <f ca="1"/>
        <v>8.5926309523809523E-3</v>
      </c>
      <c r="S19" t="str">
        <f ca="1"/>
        <v>BLDP</v>
      </c>
      <c r="T19" s="96">
        <f ca="1"/>
        <v>1299.9999999999927</v>
      </c>
      <c r="U19" t="str">
        <f ca="1"/>
        <v>MVEALDNE</v>
      </c>
      <c r="V19" s="96">
        <f ca="1"/>
        <v>1010</v>
      </c>
      <c r="W19" t="str">
        <v>PAAS</v>
      </c>
      <c r="X19">
        <v>2</v>
      </c>
      <c r="Y19" t="str">
        <v>ALDNE</v>
      </c>
      <c r="Z19">
        <v>6</v>
      </c>
      <c r="AA19" t="str">
        <v>PAAS</v>
      </c>
      <c r="AB19">
        <v>56</v>
      </c>
      <c r="AC19" t="str">
        <v>UNIT</v>
      </c>
      <c r="AD19">
        <v>64</v>
      </c>
      <c r="AE19" t="str">
        <f ca="1"/>
        <v>NEM</v>
      </c>
      <c r="AF19" s="96">
        <f ca="1"/>
        <v>0</v>
      </c>
      <c r="AG19" t="str">
        <f ca="1"/>
        <v>PAAS</v>
      </c>
      <c r="AH19" s="96">
        <f ca="1"/>
        <v>9159.9999999999964</v>
      </c>
      <c r="AI19" t="str">
        <f ca="1"/>
        <v>DVA</v>
      </c>
      <c r="AJ19" s="96">
        <f ca="1"/>
        <v>7451.9999999999982</v>
      </c>
      <c r="AK19" s="99" t="str">
        <f ca="1"/>
        <v>POET</v>
      </c>
      <c r="AL19" s="333">
        <f ca="1"/>
        <v>8.5926309523809523E-3</v>
      </c>
      <c r="AM19" t="str">
        <f ca="1"/>
        <v>GLE</v>
      </c>
      <c r="AN19" s="333">
        <f ca="1"/>
        <v>1.9121714212939378</v>
      </c>
      <c r="AO19" t="str">
        <f ca="1"/>
        <v>RWE</v>
      </c>
      <c r="AP19" s="333">
        <f ca="1"/>
        <v>-0.21290912886167546</v>
      </c>
      <c r="AQ19" s="96" t="str">
        <f ca="1"/>
        <v>LNSR</v>
      </c>
      <c r="AR19" s="99">
        <f ca="1"/>
        <v>0.91083076984739353</v>
      </c>
    </row>
    <row r="20" spans="1:44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JBEOAN</v>
      </c>
      <c r="F20" s="599">
        <f ca="1"/>
        <v>1.2674223751841054</v>
      </c>
      <c r="G20" s="165" t="str">
        <f ca="1"/>
        <v>CSCO</v>
      </c>
      <c r="H20" s="600">
        <f ca="1"/>
        <v>125028.84999999996</v>
      </c>
      <c r="I20" t="str">
        <v>MVEDSY</v>
      </c>
      <c r="J20" s="601">
        <v>9.894E-3</v>
      </c>
      <c r="K20" s="165" t="str">
        <f ca="1"/>
        <v>MVEDSY</v>
      </c>
      <c r="L20" s="601">
        <f ca="1"/>
        <v>9.894E-3</v>
      </c>
      <c r="M20" s="1" t="str">
        <f ca="1"/>
        <v>NFLX</v>
      </c>
      <c r="N20" s="600">
        <f ca="1"/>
        <v>37961.999999999985</v>
      </c>
      <c r="O20" t="str">
        <f ca="1"/>
        <v>TSM</v>
      </c>
      <c r="P20" s="600">
        <f ca="1"/>
        <v>5850.3374999999951</v>
      </c>
      <c r="Q20" t="str">
        <f ca="1"/>
        <v>C</v>
      </c>
      <c r="R20" s="705">
        <f ca="1"/>
        <v>8.0495476190476194E-3</v>
      </c>
      <c r="S20" t="str">
        <f ca="1"/>
        <v>DSY</v>
      </c>
      <c r="T20" s="96">
        <f ca="1"/>
        <v>1140</v>
      </c>
      <c r="U20" t="str">
        <f ca="1"/>
        <v>MVESAP</v>
      </c>
      <c r="V20" s="96">
        <f ca="1"/>
        <v>922.30000000001746</v>
      </c>
      <c r="W20" t="str">
        <v>TSM</v>
      </c>
      <c r="X20">
        <v>2</v>
      </c>
      <c r="Y20" t="str">
        <v>BMRA</v>
      </c>
      <c r="Z20">
        <v>6</v>
      </c>
      <c r="AA20" t="str">
        <v>RWE</v>
      </c>
      <c r="AB20">
        <v>56</v>
      </c>
      <c r="AC20" t="str">
        <v>THC</v>
      </c>
      <c r="AD20">
        <v>63</v>
      </c>
      <c r="AE20" t="str">
        <f ca="1"/>
        <v>NFLX</v>
      </c>
      <c r="AF20" s="96">
        <f ca="1"/>
        <v>0</v>
      </c>
      <c r="AG20" t="str">
        <f ca="1"/>
        <v>VTRS</v>
      </c>
      <c r="AH20" s="96">
        <f ca="1"/>
        <v>8650.0000000000018</v>
      </c>
      <c r="AI20" t="str">
        <f ca="1"/>
        <v>MVEDDD</v>
      </c>
      <c r="AJ20" s="96">
        <f ca="1"/>
        <v>6475</v>
      </c>
      <c r="AK20" s="99" t="str">
        <f ca="1"/>
        <v>C</v>
      </c>
      <c r="AL20" s="333">
        <f ca="1"/>
        <v>8.0495476190476194E-3</v>
      </c>
      <c r="AM20" t="str">
        <f ca="1"/>
        <v>SAFIAG</v>
      </c>
      <c r="AN20" s="333">
        <f ca="1"/>
        <v>1.3459501845018453</v>
      </c>
      <c r="AO20" t="str">
        <f ca="1"/>
        <v>SAFIAG</v>
      </c>
      <c r="AP20" s="333">
        <f ca="1"/>
        <v>-0.2121335078534031</v>
      </c>
      <c r="AQ20" s="96" t="str">
        <f ca="1"/>
        <v>TSM</v>
      </c>
      <c r="AR20" s="99">
        <f ca="1"/>
        <v>0.879186275998178</v>
      </c>
    </row>
    <row r="21" spans="1:44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VTRS</v>
      </c>
      <c r="F21" s="599">
        <f ca="1"/>
        <v>1.259964776017453</v>
      </c>
      <c r="G21" s="165" t="str">
        <f ca="1"/>
        <v>SAFASML</v>
      </c>
      <c r="H21" s="600">
        <f ca="1"/>
        <v>124377.258</v>
      </c>
      <c r="I21" t="str">
        <v>PW</v>
      </c>
      <c r="J21" s="601">
        <v>9.8040000000000002E-3</v>
      </c>
      <c r="K21" s="165" t="str">
        <f ca="1"/>
        <v>PW</v>
      </c>
      <c r="L21" s="601">
        <f ca="1"/>
        <v>9.8040000000000002E-3</v>
      </c>
      <c r="M21" s="1" t="str">
        <f ca="1"/>
        <v>VONN</v>
      </c>
      <c r="N21" s="600">
        <f ca="1"/>
        <v>16449.999999999953</v>
      </c>
      <c r="O21" t="str">
        <f ca="1"/>
        <v>PAAS</v>
      </c>
      <c r="P21" s="600">
        <f ca="1"/>
        <v>4648.3499999999967</v>
      </c>
      <c r="Q21" t="str">
        <f ca="1"/>
        <v>GNRC</v>
      </c>
      <c r="R21" s="705">
        <f ca="1"/>
        <v>7.7576071428571425E-3</v>
      </c>
      <c r="S21" t="str">
        <f ca="1"/>
        <v>EOAN</v>
      </c>
      <c r="T21" s="96">
        <f ca="1"/>
        <v>1093.75</v>
      </c>
      <c r="U21" t="str">
        <f ca="1"/>
        <v>DSY</v>
      </c>
      <c r="V21" s="96">
        <f ca="1"/>
        <v>780</v>
      </c>
      <c r="W21" t="str">
        <v>AVGO</v>
      </c>
      <c r="X21">
        <v>2</v>
      </c>
      <c r="Y21" t="str">
        <v>C</v>
      </c>
      <c r="Z21">
        <v>6</v>
      </c>
      <c r="AA21" t="str">
        <v>MVERWE</v>
      </c>
      <c r="AB21">
        <v>56</v>
      </c>
      <c r="AC21" t="str">
        <v>AAPL</v>
      </c>
      <c r="AD21">
        <v>60</v>
      </c>
      <c r="AE21" t="str">
        <f ca="1"/>
        <v>PAAS</v>
      </c>
      <c r="AF21" s="96">
        <f ca="1"/>
        <v>0</v>
      </c>
      <c r="AG21" t="str">
        <f ca="1"/>
        <v>VLVLY</v>
      </c>
      <c r="AH21" s="96">
        <f ca="1"/>
        <v>7745.2500000000036</v>
      </c>
      <c r="AI21" t="str">
        <f ca="1"/>
        <v>NFLX</v>
      </c>
      <c r="AJ21" s="96">
        <f ca="1"/>
        <v>6415.9999999999854</v>
      </c>
      <c r="AK21" s="99" t="str">
        <f ca="1"/>
        <v>GNRC</v>
      </c>
      <c r="AL21" s="333">
        <f ca="1"/>
        <v>7.7576071428571425E-3</v>
      </c>
      <c r="AM21" t="str">
        <f ca="1"/>
        <v>GS</v>
      </c>
      <c r="AN21" s="333">
        <f ca="1"/>
        <v>1.1710071577920269</v>
      </c>
      <c r="AO21" t="str">
        <f ca="1"/>
        <v>F</v>
      </c>
      <c r="AP21" s="333">
        <f ca="1"/>
        <v>-0.21183219178082194</v>
      </c>
      <c r="AQ21" s="96" t="str">
        <f ca="1"/>
        <v>MSFT</v>
      </c>
      <c r="AR21" s="99">
        <f ca="1"/>
        <v>0.84504899688685309</v>
      </c>
    </row>
    <row r="22" spans="1:44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PAAS</v>
      </c>
      <c r="F22" s="599">
        <f ca="1"/>
        <v>1.2569074724340359</v>
      </c>
      <c r="G22" s="165" t="str">
        <f ca="1"/>
        <v>KR</v>
      </c>
      <c r="H22" s="600">
        <f ca="1"/>
        <v>114847.59000000001</v>
      </c>
      <c r="I22" t="str">
        <v>BLDP</v>
      </c>
      <c r="J22" s="601">
        <v>9.7560000000000008E-3</v>
      </c>
      <c r="K22" s="165" t="str">
        <f ca="1"/>
        <v>BLDP</v>
      </c>
      <c r="L22" s="601">
        <f ca="1"/>
        <v>9.7560000000000008E-3</v>
      </c>
      <c r="M22" s="1" t="str">
        <f ca="1"/>
        <v>SAFAAPL</v>
      </c>
      <c r="N22" s="600">
        <f ca="1"/>
        <v>15568.224999999999</v>
      </c>
      <c r="O22" t="str">
        <f ca="1"/>
        <v>ASML</v>
      </c>
      <c r="P22" s="600">
        <f ca="1"/>
        <v>4508.6999999999825</v>
      </c>
      <c r="Q22" t="str">
        <f ca="1"/>
        <v>EOAN</v>
      </c>
      <c r="R22" s="705">
        <f ca="1"/>
        <v>7.5635654761904755E-3</v>
      </c>
      <c r="S22" t="str">
        <f ca="1"/>
        <v>MVEALDNE</v>
      </c>
      <c r="T22" s="96">
        <f ca="1"/>
        <v>1010</v>
      </c>
      <c r="U22" t="str">
        <f ca="1"/>
        <v>PW</v>
      </c>
      <c r="V22" s="96">
        <f ca="1"/>
        <v>778</v>
      </c>
      <c r="W22" t="str">
        <v>MVEDSY</v>
      </c>
      <c r="X22">
        <v>2</v>
      </c>
      <c r="Y22" t="str">
        <v>SAP</v>
      </c>
      <c r="Z22">
        <v>6</v>
      </c>
      <c r="AA22" t="str">
        <v>BLNK</v>
      </c>
      <c r="AB22">
        <v>55</v>
      </c>
      <c r="AC22" t="str">
        <v>SAFAAPL</v>
      </c>
      <c r="AD22">
        <v>60</v>
      </c>
      <c r="AE22" t="str">
        <f ca="1"/>
        <v>PROF</v>
      </c>
      <c r="AF22" s="96">
        <f ca="1"/>
        <v>0</v>
      </c>
      <c r="AG22" t="str">
        <f ca="1"/>
        <v>CSCO</v>
      </c>
      <c r="AH22" s="96">
        <f ca="1"/>
        <v>7594.9999999999991</v>
      </c>
      <c r="AI22" t="str">
        <f ca="1"/>
        <v>OXY</v>
      </c>
      <c r="AJ22" s="96">
        <f ca="1"/>
        <v>6200.0000000000027</v>
      </c>
      <c r="AK22" s="99" t="str">
        <f ca="1"/>
        <v>EOAN</v>
      </c>
      <c r="AL22" s="333">
        <f ca="1"/>
        <v>7.5635654761904755E-3</v>
      </c>
      <c r="AM22" t="str">
        <f ca="1"/>
        <v>RIGL</v>
      </c>
      <c r="AN22" s="333">
        <f ca="1"/>
        <v>1.0328002680965149</v>
      </c>
      <c r="AO22" t="str">
        <f ca="1"/>
        <v>GM</v>
      </c>
      <c r="AP22" s="333">
        <f ca="1"/>
        <v>-0.20468784719254765</v>
      </c>
      <c r="AQ22" s="96" t="str">
        <f ca="1"/>
        <v>GNRC</v>
      </c>
      <c r="AR22" s="99">
        <f ca="1"/>
        <v>0.82640675227571592</v>
      </c>
    </row>
    <row r="23" spans="1:44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RIG</v>
      </c>
      <c r="F23" s="599">
        <f ca="1"/>
        <v>1.193715129297465</v>
      </c>
      <c r="G23" s="165" t="str">
        <f ca="1"/>
        <v>SAFAAPL</v>
      </c>
      <c r="H23" s="600">
        <f ca="1"/>
        <v>110589.83999999997</v>
      </c>
      <c r="I23" t="str">
        <v>EZJ</v>
      </c>
      <c r="J23" s="601">
        <v>7.9469999999999992E-3</v>
      </c>
      <c r="K23" s="165" t="str">
        <f ca="1"/>
        <v>EZJ</v>
      </c>
      <c r="L23" s="601">
        <f ca="1"/>
        <v>7.9469999999999992E-3</v>
      </c>
      <c r="M23" s="1" t="str">
        <f ca="1"/>
        <v>AET</v>
      </c>
      <c r="N23" s="600">
        <f ca="1"/>
        <v>15516.371193000001</v>
      </c>
      <c r="O23" t="str">
        <f ca="1"/>
        <v>ORA</v>
      </c>
      <c r="P23" s="600">
        <f ca="1"/>
        <v>3730.6500000000019</v>
      </c>
      <c r="Q23" t="str">
        <f ca="1"/>
        <v>MVEEOAN</v>
      </c>
      <c r="R23" s="705">
        <f ca="1"/>
        <v>7.5635654761904755E-3</v>
      </c>
      <c r="S23" t="str">
        <f ca="1"/>
        <v>RIG</v>
      </c>
      <c r="T23" s="96">
        <f ca="1"/>
        <v>875</v>
      </c>
      <c r="U23" t="str">
        <f ca="1"/>
        <v>JBEOAN</v>
      </c>
      <c r="V23" s="96">
        <f ca="1"/>
        <v>765</v>
      </c>
      <c r="W23" t="str">
        <v>GS</v>
      </c>
      <c r="X23">
        <v>2</v>
      </c>
      <c r="Y23" t="str">
        <v>MVEALDNE</v>
      </c>
      <c r="Z23">
        <v>6</v>
      </c>
      <c r="AA23" t="str">
        <v>NVS</v>
      </c>
      <c r="AB23">
        <v>55</v>
      </c>
      <c r="AC23" t="str">
        <v>CVS</v>
      </c>
      <c r="AD23">
        <v>59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7450.0000000000027</v>
      </c>
      <c r="AI23" t="str">
        <f ca="1"/>
        <v>SHECY</v>
      </c>
      <c r="AJ23" s="96">
        <f ca="1"/>
        <v>6161.0000000000018</v>
      </c>
      <c r="AK23" s="99" t="str">
        <f ca="1"/>
        <v>MVEEOAN</v>
      </c>
      <c r="AL23" s="333">
        <f ca="1"/>
        <v>7.5635654761904755E-3</v>
      </c>
      <c r="AM23" t="str">
        <f ca="1"/>
        <v>IAG</v>
      </c>
      <c r="AN23" s="333">
        <f ca="1"/>
        <v>0.82459050124470923</v>
      </c>
      <c r="AO23" t="str">
        <f ca="1"/>
        <v>GS</v>
      </c>
      <c r="AP23" s="333">
        <f ca="1"/>
        <v>-0.19215674223800422</v>
      </c>
      <c r="AQ23" s="96" t="str">
        <f ca="1"/>
        <v>AAPL</v>
      </c>
      <c r="AR23" s="99">
        <f ca="1"/>
        <v>0.74820627802690609</v>
      </c>
    </row>
    <row r="24" spans="1:44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MSFT</v>
      </c>
      <c r="F24" s="599">
        <f ca="1"/>
        <v>1.1464970251381266</v>
      </c>
      <c r="G24" s="165" t="str">
        <f ca="1"/>
        <v>VLVLY</v>
      </c>
      <c r="H24" s="600">
        <f ca="1"/>
        <v>97866.62</v>
      </c>
      <c r="I24" t="str">
        <v>C</v>
      </c>
      <c r="J24" s="601">
        <v>6.6790000000000009E-3</v>
      </c>
      <c r="K24" s="165" t="str">
        <f ca="1"/>
        <v>C</v>
      </c>
      <c r="L24" s="601">
        <f ca="1"/>
        <v>6.6790000000000009E-3</v>
      </c>
      <c r="M24" s="1" t="str">
        <f ca="1"/>
        <v>ADEA</v>
      </c>
      <c r="N24" s="600">
        <f ca="1"/>
        <v>15478.495418000008</v>
      </c>
      <c r="O24" t="str">
        <f ca="1"/>
        <v>MVEENI</v>
      </c>
      <c r="P24" s="600">
        <f ca="1"/>
        <v>3527.1600000000017</v>
      </c>
      <c r="Q24" t="str">
        <f ca="1"/>
        <v>JBEOAN</v>
      </c>
      <c r="R24" s="705">
        <f ca="1"/>
        <v>7.5635654761904755E-3</v>
      </c>
      <c r="S24" t="str">
        <f ca="1"/>
        <v>MVEUN0</v>
      </c>
      <c r="T24" s="96">
        <f ca="1"/>
        <v>420</v>
      </c>
      <c r="U24" t="str">
        <f ca="1"/>
        <v>DVA</v>
      </c>
      <c r="V24" s="96">
        <f ca="1"/>
        <v>670</v>
      </c>
      <c r="W24" t="str">
        <v>LOCK</v>
      </c>
      <c r="X24">
        <v>2</v>
      </c>
      <c r="Y24" t="str">
        <v>MVESAP</v>
      </c>
      <c r="Z24">
        <v>6</v>
      </c>
      <c r="AA24" t="str">
        <v>C</v>
      </c>
      <c r="AB24">
        <v>54</v>
      </c>
      <c r="AC24" t="str">
        <v>DSY</v>
      </c>
      <c r="AD24">
        <v>59</v>
      </c>
      <c r="AE24" t="str">
        <f ca="1"/>
        <v>RWE</v>
      </c>
      <c r="AF24" s="96">
        <f ca="1"/>
        <v>0</v>
      </c>
      <c r="AG24" t="str">
        <f ca="1"/>
        <v>F</v>
      </c>
      <c r="AH24" s="96">
        <f ca="1"/>
        <v>7335.0000000000009</v>
      </c>
      <c r="AI24" t="str">
        <f ca="1"/>
        <v>PROF</v>
      </c>
      <c r="AJ24" s="96">
        <f ca="1"/>
        <v>5779.9999999999991</v>
      </c>
      <c r="AK24" s="99" t="str">
        <f ca="1"/>
        <v>JBEOAN</v>
      </c>
      <c r="AL24" s="333">
        <f ca="1"/>
        <v>7.5635654761904755E-3</v>
      </c>
      <c r="AM24" t="str">
        <f ca="1"/>
        <v>GNRC</v>
      </c>
      <c r="AN24" s="333">
        <f ca="1"/>
        <v>0.8142335730469904</v>
      </c>
      <c r="AO24" t="str">
        <f ca="1"/>
        <v>HPE</v>
      </c>
      <c r="AP24" s="333">
        <f ca="1"/>
        <v>-0.18492594164813692</v>
      </c>
      <c r="AQ24" s="96" t="str">
        <f ca="1"/>
        <v>SAFAAPL</v>
      </c>
      <c r="AR24" s="99">
        <f ca="1"/>
        <v>0.68676575582527388</v>
      </c>
    </row>
    <row r="25" spans="1:44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KR</v>
      </c>
      <c r="F25" s="599">
        <f ca="1"/>
        <v>1.1288481836894104</v>
      </c>
      <c r="G25" s="165" t="str">
        <f ca="1"/>
        <v>MVEORA</v>
      </c>
      <c r="H25" s="600">
        <f ca="1"/>
        <v>97033.049999999988</v>
      </c>
      <c r="I25" t="str">
        <v>RRC</v>
      </c>
      <c r="J25" s="601">
        <v>5.9850000000000007E-3</v>
      </c>
      <c r="K25" s="165" t="str">
        <f ca="1"/>
        <v>RRC</v>
      </c>
      <c r="L25" s="601">
        <f ca="1"/>
        <v>5.9850000000000007E-3</v>
      </c>
      <c r="M25" s="1" t="str">
        <f ca="1"/>
        <v>EOAN</v>
      </c>
      <c r="N25" s="600">
        <f ca="1"/>
        <v>12101.562500000007</v>
      </c>
      <c r="O25" t="str">
        <f ca="1"/>
        <v>HPQ</v>
      </c>
      <c r="P25" s="600">
        <f ca="1"/>
        <v>3491.25</v>
      </c>
      <c r="Q25" t="str">
        <f ca="1"/>
        <v>DDD</v>
      </c>
      <c r="R25" s="705">
        <f ca="1"/>
        <v>7.549251190476192E-3</v>
      </c>
      <c r="S25" t="str">
        <f ca="1"/>
        <v>MVESAP</v>
      </c>
      <c r="T25" s="96">
        <f ca="1"/>
        <v>401</v>
      </c>
      <c r="U25" t="str">
        <f ca="1"/>
        <v>LAZR</v>
      </c>
      <c r="V25" s="96">
        <f ca="1"/>
        <v>543.13000000000102</v>
      </c>
      <c r="W25" t="str">
        <v>LUMN</v>
      </c>
      <c r="X25">
        <v>3</v>
      </c>
      <c r="Y25" t="str">
        <v>RIG</v>
      </c>
      <c r="Z25">
        <v>6</v>
      </c>
      <c r="AA25" t="str">
        <v>PW</v>
      </c>
      <c r="AB25">
        <v>53</v>
      </c>
      <c r="AC25" t="str">
        <v>MVEDSY</v>
      </c>
      <c r="AD25">
        <v>59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6814.00000000001</v>
      </c>
      <c r="AI25" t="str">
        <f ca="1"/>
        <v>DSY</v>
      </c>
      <c r="AJ25" s="96">
        <f ca="1"/>
        <v>5564.9999999999991</v>
      </c>
      <c r="AK25" s="99" t="str">
        <f ca="1"/>
        <v>DDD</v>
      </c>
      <c r="AL25" s="333">
        <f ca="1"/>
        <v>7.549251190476192E-3</v>
      </c>
      <c r="AM25" t="str">
        <f ca="1"/>
        <v>X</v>
      </c>
      <c r="AN25" s="333">
        <f ca="1"/>
        <v>0.76954900306571627</v>
      </c>
      <c r="AO25" t="str">
        <f ca="1"/>
        <v>VLVLY</v>
      </c>
      <c r="AP25" s="333">
        <f ca="1"/>
        <v>-0.17864750882699107</v>
      </c>
      <c r="AQ25" s="96" t="str">
        <f ca="1"/>
        <v>RIG</v>
      </c>
      <c r="AR25" s="99">
        <f ca="1"/>
        <v>0.68220823798627028</v>
      </c>
    </row>
    <row r="26" spans="1:44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DIS</v>
      </c>
      <c r="F26" s="599">
        <f ca="1"/>
        <v>1.0857649478121689</v>
      </c>
      <c r="G26" s="165" t="str">
        <f ca="1"/>
        <v>MVEGLE</v>
      </c>
      <c r="H26" s="600">
        <f ca="1"/>
        <v>89569.05</v>
      </c>
      <c r="I26" t="str">
        <v>ASML</v>
      </c>
      <c r="J26" s="601">
        <v>5.5389999999999997E-3</v>
      </c>
      <c r="K26" s="165" t="str">
        <f ca="1"/>
        <v>ASML</v>
      </c>
      <c r="L26" s="601">
        <f ca="1"/>
        <v>5.5389999999999997E-3</v>
      </c>
      <c r="M26" s="1" t="str">
        <f ca="1"/>
        <v>AZN</v>
      </c>
      <c r="N26" s="600">
        <f ca="1"/>
        <v>9719.9999999999982</v>
      </c>
      <c r="O26" t="str">
        <f ca="1"/>
        <v>MA</v>
      </c>
      <c r="P26" s="600">
        <f ca="1"/>
        <v>3412.4475000000039</v>
      </c>
      <c r="Q26" t="str">
        <f ca="1"/>
        <v>MVEDDD</v>
      </c>
      <c r="R26" s="705">
        <f ca="1"/>
        <v>7.549251190476192E-3</v>
      </c>
      <c r="S26" t="str">
        <f ca="1"/>
        <v>RIGL</v>
      </c>
      <c r="T26" s="96">
        <f ca="1"/>
        <v>360</v>
      </c>
      <c r="U26" t="str">
        <f ca="1"/>
        <v>ENI</v>
      </c>
      <c r="V26" s="96">
        <f ca="1"/>
        <v>276</v>
      </c>
      <c r="W26" t="str">
        <v>THC</v>
      </c>
      <c r="X26">
        <v>3</v>
      </c>
      <c r="Y26" t="str">
        <v>AET</v>
      </c>
      <c r="Z26">
        <v>7</v>
      </c>
      <c r="AA26" t="str">
        <v>GM</v>
      </c>
      <c r="AB26">
        <v>52</v>
      </c>
      <c r="AC26" t="str">
        <v>RIG</v>
      </c>
      <c r="AD26">
        <v>58</v>
      </c>
      <c r="AE26" t="str">
        <f ca="1"/>
        <v>TSLA</v>
      </c>
      <c r="AF26" s="96">
        <f ca="1"/>
        <v>0</v>
      </c>
      <c r="AG26" t="str">
        <f ca="1"/>
        <v>RIG</v>
      </c>
      <c r="AH26" s="96">
        <f ca="1"/>
        <v>6625.0000000000027</v>
      </c>
      <c r="AI26" t="str">
        <f ca="1"/>
        <v>MVEUN0</v>
      </c>
      <c r="AJ26" s="96">
        <f ca="1"/>
        <v>4723.84</v>
      </c>
      <c r="AK26" s="99" t="str">
        <f ca="1"/>
        <v>MVEDDD</v>
      </c>
      <c r="AL26" s="333">
        <f ca="1"/>
        <v>7.549251190476192E-3</v>
      </c>
      <c r="AM26" t="str">
        <f ca="1"/>
        <v>AVGO</v>
      </c>
      <c r="AN26" s="333">
        <f ca="1"/>
        <v>0.75536059754290275</v>
      </c>
      <c r="AO26" t="str">
        <f ca="1"/>
        <v>VTRS</v>
      </c>
      <c r="AP26" s="333">
        <f ca="1"/>
        <v>-0.17619477911646589</v>
      </c>
      <c r="AQ26" s="96" t="str">
        <f ca="1"/>
        <v>VTRS</v>
      </c>
      <c r="AR26" s="99">
        <f ca="1"/>
        <v>0.67566394723138357</v>
      </c>
    </row>
    <row r="27" spans="1:44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SAFDIS</v>
      </c>
      <c r="F27" s="599">
        <f ca="1"/>
        <v>1.0857649478121689</v>
      </c>
      <c r="G27" s="165" t="str">
        <f ca="1"/>
        <v>TSLA</v>
      </c>
      <c r="H27" s="600">
        <f ca="1"/>
        <v>87337.299999999988</v>
      </c>
      <c r="I27" t="str">
        <v>SAFASML</v>
      </c>
      <c r="J27" s="601">
        <v>5.5389999999999997E-3</v>
      </c>
      <c r="K27" s="165" t="str">
        <f ca="1"/>
        <v>SAFASML</v>
      </c>
      <c r="L27" s="601">
        <f ca="1"/>
        <v>5.5389999999999997E-3</v>
      </c>
      <c r="M27" s="1" t="str">
        <f ca="1"/>
        <v>VTRS</v>
      </c>
      <c r="N27" s="600">
        <f ca="1"/>
        <v>8650.0000000000018</v>
      </c>
      <c r="O27" t="str">
        <f ca="1"/>
        <v>WBA</v>
      </c>
      <c r="P27" s="600">
        <f ca="1"/>
        <v>2908.3110000000052</v>
      </c>
      <c r="Q27" t="str">
        <f ca="1"/>
        <v>SAFDDD</v>
      </c>
      <c r="R27" s="705">
        <f ca="1"/>
        <v>7.549251190476192E-3</v>
      </c>
      <c r="S27" t="str">
        <f ca="1"/>
        <v>SAFASML</v>
      </c>
      <c r="T27" s="96">
        <f ca="1"/>
        <v>323.99999999998545</v>
      </c>
      <c r="U27" t="str">
        <f ca="1"/>
        <v>VTRS</v>
      </c>
      <c r="V27" s="96">
        <f ca="1"/>
        <v>250.00000000000728</v>
      </c>
      <c r="W27" t="str">
        <v>MSFT</v>
      </c>
      <c r="X27">
        <v>4</v>
      </c>
      <c r="Y27" t="str">
        <v>RWE</v>
      </c>
      <c r="Z27">
        <v>7</v>
      </c>
      <c r="AA27" t="str">
        <v>RIGL</v>
      </c>
      <c r="AB27">
        <v>52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DDD</v>
      </c>
      <c r="AH27" s="96">
        <f ca="1"/>
        <v>6300.0000000000036</v>
      </c>
      <c r="AI27" t="str">
        <f ca="1"/>
        <v>NEE</v>
      </c>
      <c r="AJ27" s="96">
        <f ca="1"/>
        <v>3760.000000000005</v>
      </c>
      <c r="AK27" s="99" t="str">
        <f ca="1"/>
        <v>SAFDDD</v>
      </c>
      <c r="AL27" s="333">
        <f ca="1"/>
        <v>7.549251190476192E-3</v>
      </c>
      <c r="AM27" t="str">
        <f ca="1"/>
        <v>NEM</v>
      </c>
      <c r="AN27" s="333">
        <f ca="1"/>
        <v>0.72272529828864907</v>
      </c>
      <c r="AO27" t="str">
        <f ca="1"/>
        <v>NVS</v>
      </c>
      <c r="AP27" s="333">
        <f ca="1"/>
        <v>-0.17260674723061437</v>
      </c>
      <c r="AQ27" s="96" t="str">
        <f ca="1"/>
        <v>MVEEOAN</v>
      </c>
      <c r="AR27" s="99">
        <f ca="1"/>
        <v>0.62108777298650708</v>
      </c>
    </row>
    <row r="28" spans="1:44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ADEA</v>
      </c>
      <c r="F28" s="599">
        <f ca="1"/>
        <v>1.0726240674667531</v>
      </c>
      <c r="G28" s="165" t="str">
        <f ca="1"/>
        <v>PAAS</v>
      </c>
      <c r="H28" s="600">
        <f ca="1"/>
        <v>77157.299999999988</v>
      </c>
      <c r="I28" t="str">
        <v>RWE</v>
      </c>
      <c r="J28" s="601">
        <v>5.0349999999999995E-3</v>
      </c>
      <c r="K28" s="165" t="str">
        <f ca="1"/>
        <v>RWE</v>
      </c>
      <c r="L28" s="601">
        <f ca="1"/>
        <v>5.0349999999999995E-3</v>
      </c>
      <c r="M28" s="1" t="str">
        <f ca="1"/>
        <v>VLVLY</v>
      </c>
      <c r="N28" s="600">
        <f ca="1"/>
        <v>7745.2500000000036</v>
      </c>
      <c r="O28" t="str">
        <f ca="1"/>
        <v>LUMN</v>
      </c>
      <c r="P28" s="600">
        <f ca="1"/>
        <v>2304.2249999999985</v>
      </c>
      <c r="Q28" t="str">
        <f ca="1"/>
        <v>HPE</v>
      </c>
      <c r="R28" s="705">
        <f ca="1"/>
        <v>7.427545238095236E-3</v>
      </c>
      <c r="S28" t="str">
        <f ca="1"/>
        <v>TSLA</v>
      </c>
      <c r="T28" s="96">
        <f ca="1"/>
        <v>250</v>
      </c>
      <c r="U28" t="str">
        <f ca="1"/>
        <v>TSLA</v>
      </c>
      <c r="V28" s="96">
        <f ca="1"/>
        <v>226.20000000000027</v>
      </c>
      <c r="W28" t="str">
        <v>UNIT</v>
      </c>
      <c r="X28">
        <v>4</v>
      </c>
      <c r="Y28" t="str">
        <v>MVERWE</v>
      </c>
      <c r="Z28">
        <v>7</v>
      </c>
      <c r="AA28" t="str">
        <v>MVEENI</v>
      </c>
      <c r="AB28">
        <v>52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SAFDDD</v>
      </c>
      <c r="AH28" s="96">
        <f ca="1"/>
        <v>6216.0000000000009</v>
      </c>
      <c r="AI28" t="str">
        <f ca="1"/>
        <v>KR</v>
      </c>
      <c r="AJ28" s="96">
        <f ca="1"/>
        <v>3529.9999999999868</v>
      </c>
      <c r="AK28" s="99" t="str">
        <f ca="1"/>
        <v>HPE</v>
      </c>
      <c r="AL28" s="333">
        <f ca="1"/>
        <v>7.427545238095236E-3</v>
      </c>
      <c r="AM28" t="str">
        <f ca="1"/>
        <v>SAFGM</v>
      </c>
      <c r="AN28" s="333">
        <f ca="1"/>
        <v>0.68043954859114442</v>
      </c>
      <c r="AO28" t="str">
        <f ca="1"/>
        <v>SAFGM</v>
      </c>
      <c r="AP28" s="333">
        <f ca="1"/>
        <v>-0.17123087770276046</v>
      </c>
      <c r="AQ28" s="96" t="str">
        <f ca="1"/>
        <v>ADEA</v>
      </c>
      <c r="AR28" s="99">
        <f ca="1"/>
        <v>0.62049861495844894</v>
      </c>
    </row>
    <row r="29" spans="1:44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AMZN</v>
      </c>
      <c r="F29" s="599">
        <f ca="1"/>
        <v>1.0710485466714732</v>
      </c>
      <c r="G29" s="165" t="str">
        <f ca="1"/>
        <v>AET</v>
      </c>
      <c r="H29" s="600">
        <f ca="1"/>
        <v>76498.964192999993</v>
      </c>
      <c r="I29" t="str">
        <v>MVERWE</v>
      </c>
      <c r="J29" s="601">
        <v>5.0349999999999995E-3</v>
      </c>
      <c r="K29" s="165" t="str">
        <f ca="1"/>
        <v>MVERWE</v>
      </c>
      <c r="L29" s="601">
        <f ca="1"/>
        <v>5.0349999999999995E-3</v>
      </c>
      <c r="M29" s="1" t="str">
        <f ca="1"/>
        <v>CSCO</v>
      </c>
      <c r="N29" s="600">
        <f ca="1"/>
        <v>7594.9999999999991</v>
      </c>
      <c r="O29" t="str">
        <f ca="1"/>
        <v>HPE</v>
      </c>
      <c r="P29" s="600">
        <f ca="1"/>
        <v>2236.8937500000015</v>
      </c>
      <c r="Q29" t="str">
        <f ca="1"/>
        <v>LNSR</v>
      </c>
      <c r="R29" s="705">
        <f ca="1"/>
        <v>7.2204285714285703E-3</v>
      </c>
      <c r="S29" t="str">
        <f ca="1"/>
        <v>WBA</v>
      </c>
      <c r="T29" s="96">
        <f ca="1"/>
        <v>195</v>
      </c>
      <c r="U29" t="str">
        <f ca="1"/>
        <v>MVEUN0</v>
      </c>
      <c r="V29" s="96">
        <f ca="1"/>
        <v>224</v>
      </c>
      <c r="W29" t="str">
        <v>DDD</v>
      </c>
      <c r="X29">
        <v>5</v>
      </c>
      <c r="Y29" t="str">
        <v>ADEA</v>
      </c>
      <c r="Z29">
        <v>8</v>
      </c>
      <c r="AA29" t="str">
        <v>SAFGM</v>
      </c>
      <c r="AB29">
        <v>52</v>
      </c>
      <c r="AC29" t="str">
        <v>XOM</v>
      </c>
      <c r="AD29">
        <v>54</v>
      </c>
      <c r="AE29" t="str">
        <f ca="1"/>
        <v>VTRS</v>
      </c>
      <c r="AF29" s="96">
        <f ca="1"/>
        <v>0</v>
      </c>
      <c r="AG29" t="str">
        <f ca="1"/>
        <v>WBA</v>
      </c>
      <c r="AH29" s="96">
        <f ca="1"/>
        <v>5760.2999999999993</v>
      </c>
      <c r="AI29" t="str">
        <f ca="1"/>
        <v>GNRC</v>
      </c>
      <c r="AJ29" s="96">
        <f ca="1"/>
        <v>3323.9999999999955</v>
      </c>
      <c r="AK29" s="99" t="str">
        <f ca="1"/>
        <v>LNSR</v>
      </c>
      <c r="AL29" s="333">
        <f ca="1"/>
        <v>7.2204285714285703E-3</v>
      </c>
      <c r="AM29" t="str">
        <f ca="1"/>
        <v>MSFT</v>
      </c>
      <c r="AN29" s="333">
        <f ca="1"/>
        <v>0.59686150139963579</v>
      </c>
      <c r="AO29" t="str">
        <f ca="1"/>
        <v>ADEA</v>
      </c>
      <c r="AP29" s="333">
        <f ca="1"/>
        <v>-0.16734020679446229</v>
      </c>
      <c r="AQ29" s="96" t="str">
        <f ca="1"/>
        <v>AZN</v>
      </c>
      <c r="AR29" s="99">
        <f ca="1"/>
        <v>0.59646539027982315</v>
      </c>
    </row>
    <row r="30" spans="1:44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SAFAMZN</v>
      </c>
      <c r="F30" s="599">
        <f ca="1"/>
        <v>1.0710485466714732</v>
      </c>
      <c r="G30" s="165" t="str">
        <f ca="1"/>
        <v>AVGO</v>
      </c>
      <c r="H30" s="600">
        <f ca="1"/>
        <v>72781.775207999977</v>
      </c>
      <c r="I30" t="str">
        <v>SAP</v>
      </c>
      <c r="J30" s="601">
        <v>5.004999999999999E-3</v>
      </c>
      <c r="K30" s="165" t="str">
        <f ca="1"/>
        <v>SAP</v>
      </c>
      <c r="L30" s="601">
        <f ca="1"/>
        <v>5.004999999999999E-3</v>
      </c>
      <c r="M30" s="1" t="str">
        <f ca="1"/>
        <v>F</v>
      </c>
      <c r="N30" s="600">
        <f ca="1"/>
        <v>7335.0000000000009</v>
      </c>
      <c r="O30" t="str">
        <f ca="1"/>
        <v>MSFT</v>
      </c>
      <c r="P30" s="600">
        <f ca="1"/>
        <v>2034.8999999999951</v>
      </c>
      <c r="Q30" t="str">
        <f ca="1"/>
        <v>ASML</v>
      </c>
      <c r="R30" s="705">
        <f ca="1"/>
        <v>6.6389380952380974E-3</v>
      </c>
      <c r="S30" t="str">
        <f ca="1"/>
        <v>EZJ</v>
      </c>
      <c r="T30" s="96">
        <f ca="1"/>
        <v>160</v>
      </c>
      <c r="U30" t="str">
        <f ca="1"/>
        <v>CVS</v>
      </c>
      <c r="V30" s="96">
        <f ca="1"/>
        <v>75</v>
      </c>
      <c r="W30" t="str">
        <v>GM</v>
      </c>
      <c r="X30">
        <v>5</v>
      </c>
      <c r="Y30" t="str">
        <v>BLDP</v>
      </c>
      <c r="Z30">
        <v>8</v>
      </c>
      <c r="AA30" t="str">
        <v>ENI</v>
      </c>
      <c r="AB30">
        <v>52</v>
      </c>
      <c r="AC30" t="str">
        <v>UN0</v>
      </c>
      <c r="AD30">
        <v>53</v>
      </c>
      <c r="AE30" t="str">
        <f ca="1"/>
        <v>XOM</v>
      </c>
      <c r="AF30" s="96">
        <f ca="1"/>
        <v>0</v>
      </c>
      <c r="AG30" t="str">
        <f ca="1"/>
        <v>SAFDIS</v>
      </c>
      <c r="AH30" s="96">
        <f ca="1"/>
        <v>4931.2</v>
      </c>
      <c r="AI30" t="str">
        <f ca="1"/>
        <v>POET</v>
      </c>
      <c r="AJ30" s="96">
        <f ca="1"/>
        <v>3149.9999999999995</v>
      </c>
      <c r="AK30" s="99" t="str">
        <f ca="1"/>
        <v>ASML</v>
      </c>
      <c r="AL30" s="333">
        <f ca="1"/>
        <v>6.6389380952380974E-3</v>
      </c>
      <c r="AM30" t="str">
        <f ca="1"/>
        <v>C</v>
      </c>
      <c r="AN30" s="333">
        <f ca="1"/>
        <v>0.58387529880478106</v>
      </c>
      <c r="AO30" t="str">
        <f ca="1"/>
        <v>LUMN</v>
      </c>
      <c r="AP30" s="333">
        <f ca="1"/>
        <v>-0.16545623451692815</v>
      </c>
      <c r="AQ30" s="96" t="str">
        <f ca="1"/>
        <v>CVS</v>
      </c>
      <c r="AR30" s="99">
        <f ca="1"/>
        <v>0.53331290395733644</v>
      </c>
    </row>
    <row r="31" spans="1:44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SAP</v>
      </c>
      <c r="F31" s="599">
        <f ca="1"/>
        <v>1.0463940754867882</v>
      </c>
      <c r="G31" s="165" t="str">
        <f ca="1"/>
        <v>SHECY</v>
      </c>
      <c r="H31" s="600">
        <f ca="1"/>
        <v>64977.339999999967</v>
      </c>
      <c r="I31" t="str">
        <v>MVESAP</v>
      </c>
      <c r="J31" s="601">
        <v>5.004999999999999E-3</v>
      </c>
      <c r="K31" s="165" t="str">
        <f ca="1"/>
        <v>MVESAP</v>
      </c>
      <c r="L31" s="601">
        <f ca="1"/>
        <v>5.004999999999999E-3</v>
      </c>
      <c r="M31" s="1" t="str">
        <f ca="1"/>
        <v>MA</v>
      </c>
      <c r="N31" s="600">
        <f ca="1"/>
        <v>6814.00000000001</v>
      </c>
      <c r="O31" t="str">
        <f ca="1"/>
        <v>SAFASML</v>
      </c>
      <c r="P31" s="600">
        <f ca="1"/>
        <v>1594.4039999999952</v>
      </c>
      <c r="Q31" t="str">
        <f ca="1"/>
        <v>SAFASML</v>
      </c>
      <c r="R31" s="705">
        <f ca="1"/>
        <v>6.6389380952380974E-3</v>
      </c>
      <c r="S31" t="str">
        <f ca="1"/>
        <v>CVS</v>
      </c>
      <c r="T31" s="96">
        <f ca="1"/>
        <v>142.5</v>
      </c>
      <c r="U31" t="str">
        <f ca="1"/>
        <v>MVEEOAN</v>
      </c>
      <c r="V31" s="96">
        <f ca="1"/>
        <v>0.45000000000001705</v>
      </c>
      <c r="W31" t="str">
        <v>MVEDDD</v>
      </c>
      <c r="X31">
        <v>5</v>
      </c>
      <c r="Y31" t="str">
        <v>DSY</v>
      </c>
      <c r="Z31">
        <v>8</v>
      </c>
      <c r="AA31" t="str">
        <v>IAG</v>
      </c>
      <c r="AB31">
        <v>51</v>
      </c>
      <c r="AC31" t="str">
        <v>VONN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4733.4524999999985</v>
      </c>
      <c r="AI31" t="str">
        <f ca="1"/>
        <v>VTRS</v>
      </c>
      <c r="AJ31" s="96">
        <f ca="1"/>
        <v>3099.9999999999959</v>
      </c>
      <c r="AK31" s="99" t="str">
        <f ca="1"/>
        <v>SAFASML</v>
      </c>
      <c r="AL31" s="333">
        <f ca="1"/>
        <v>6.6389380952380974E-3</v>
      </c>
      <c r="AM31" t="str">
        <f ca="1"/>
        <v>PAAS</v>
      </c>
      <c r="AN31" s="333">
        <f ca="1"/>
        <v>0.4982913558802492</v>
      </c>
      <c r="AO31" t="str">
        <f ca="1"/>
        <v>WBA</v>
      </c>
      <c r="AP31" s="333">
        <f ca="1"/>
        <v>-0.16277545909849747</v>
      </c>
      <c r="AQ31" s="96" t="str">
        <f ca="1"/>
        <v>AMZN</v>
      </c>
      <c r="AR31" s="99">
        <f ca="1"/>
        <v>0.52340646052858852</v>
      </c>
    </row>
    <row r="32" spans="1:44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MVESAP</v>
      </c>
      <c r="F32" s="599">
        <f ca="1"/>
        <v>1.0463940754867882</v>
      </c>
      <c r="G32" s="165" t="str">
        <f ca="1"/>
        <v>SAFGM</v>
      </c>
      <c r="H32" s="600">
        <f ca="1"/>
        <v>62342.085000000006</v>
      </c>
      <c r="I32" t="str">
        <v>NEE</v>
      </c>
      <c r="J32" s="601">
        <v>4.7670000000000004E-3</v>
      </c>
      <c r="K32" s="165" t="str">
        <f ca="1"/>
        <v>NEE</v>
      </c>
      <c r="L32" s="601">
        <f ca="1"/>
        <v>4.7670000000000004E-3</v>
      </c>
      <c r="M32" s="1" t="str">
        <f ca="1"/>
        <v>DIS</v>
      </c>
      <c r="N32" s="600">
        <f ca="1"/>
        <v>6689.9999999999982</v>
      </c>
      <c r="O32" t="str">
        <f ca="1"/>
        <v>SAFAAPL</v>
      </c>
      <c r="P32" s="600">
        <f ca="1"/>
        <v>1155.1049999999955</v>
      </c>
      <c r="Q32" t="str">
        <f ca="1"/>
        <v>MSFT</v>
      </c>
      <c r="R32" s="705">
        <f ca="1"/>
        <v>6.6277023809523817E-3</v>
      </c>
      <c r="S32" t="str">
        <f ca="1"/>
        <v>ENI</v>
      </c>
      <c r="T32" s="96">
        <f ca="1"/>
        <v>104</v>
      </c>
      <c r="U32" t="str">
        <f ca="1"/>
        <v>BMRA</v>
      </c>
      <c r="V32" s="96">
        <f ca="1"/>
        <v>0</v>
      </c>
      <c r="W32" t="str">
        <v>SAFDDD</v>
      </c>
      <c r="X32">
        <v>5</v>
      </c>
      <c r="Y32" t="str">
        <v>PW</v>
      </c>
      <c r="Z32">
        <v>8</v>
      </c>
      <c r="AA32" t="str">
        <v>KR</v>
      </c>
      <c r="AB32">
        <v>51</v>
      </c>
      <c r="AC32" t="str">
        <v>MVEUN0</v>
      </c>
      <c r="AD32">
        <v>53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4399.9999999999918</v>
      </c>
      <c r="AI32" t="str">
        <f ca="1"/>
        <v>ADEA</v>
      </c>
      <c r="AJ32" s="96">
        <f ca="1"/>
        <v>3049.8000000000038</v>
      </c>
      <c r="AK32" s="99" t="str">
        <f ca="1"/>
        <v>MSFT</v>
      </c>
      <c r="AL32" s="333">
        <f ca="1"/>
        <v>6.6277023809523817E-3</v>
      </c>
      <c r="AM32" t="str">
        <f ca="1"/>
        <v>ORA</v>
      </c>
      <c r="AN32" s="333">
        <f ca="1"/>
        <v>0.4473989162150897</v>
      </c>
      <c r="AO32" t="str">
        <f ca="1"/>
        <v>XYZ</v>
      </c>
      <c r="AP32" s="333">
        <f ca="1"/>
        <v>-0.16170944276695035</v>
      </c>
      <c r="AQ32" s="96" t="str">
        <f ca="1"/>
        <v>MVEENI</v>
      </c>
      <c r="AR32" s="99">
        <f ca="1"/>
        <v>0.50846560846560807</v>
      </c>
    </row>
    <row r="33" spans="1:44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DXC</v>
      </c>
      <c r="F33" s="599">
        <f ca="1"/>
        <v>1.0440655942660786</v>
      </c>
      <c r="G33" s="165" t="str">
        <f ca="1"/>
        <v>X</v>
      </c>
      <c r="H33" s="600">
        <f ca="1"/>
        <v>60208.109199999919</v>
      </c>
      <c r="I33" t="str">
        <v>CVS</v>
      </c>
      <c r="J33" s="601">
        <v>4.2859999999999999E-3</v>
      </c>
      <c r="K33" s="165" t="str">
        <f ca="1"/>
        <v>CVS</v>
      </c>
      <c r="L33" s="601">
        <f ca="1"/>
        <v>4.2859999999999999E-3</v>
      </c>
      <c r="M33" s="1" t="str">
        <f ca="1"/>
        <v>WBA</v>
      </c>
      <c r="N33" s="600">
        <f ca="1"/>
        <v>5760.2999999999993</v>
      </c>
      <c r="O33" t="str">
        <f ca="1"/>
        <v>AAPL</v>
      </c>
      <c r="P33" s="600">
        <f ca="1"/>
        <v>1113.2099999999996</v>
      </c>
      <c r="Q33" t="str">
        <f ca="1"/>
        <v>RWE</v>
      </c>
      <c r="R33" s="705">
        <f ca="1"/>
        <v>6.3009226190476201E-3</v>
      </c>
      <c r="S33" t="str">
        <f ca="1"/>
        <v>DVA</v>
      </c>
      <c r="T33" s="96">
        <f ca="1"/>
        <v>90</v>
      </c>
      <c r="U33" t="str">
        <f ca="1"/>
        <v>LNSR</v>
      </c>
      <c r="V33" s="96">
        <f ca="1"/>
        <v>0</v>
      </c>
      <c r="W33" t="str">
        <v>SAFGM</v>
      </c>
      <c r="X33">
        <v>5</v>
      </c>
      <c r="Y33" t="str">
        <v>WBA</v>
      </c>
      <c r="Z33">
        <v>8</v>
      </c>
      <c r="AA33" t="str">
        <v>UNIT</v>
      </c>
      <c r="AB33">
        <v>51</v>
      </c>
      <c r="AC33" t="str">
        <v>EOAN</v>
      </c>
      <c r="AD33">
        <v>52</v>
      </c>
      <c r="AE33" t="str">
        <f ca="1"/>
        <v>MVEGLE</v>
      </c>
      <c r="AF33" s="96">
        <f ca="1"/>
        <v>0</v>
      </c>
      <c r="AG33" t="str">
        <f ca="1"/>
        <v>EOAN</v>
      </c>
      <c r="AH33" s="96">
        <f ca="1"/>
        <v>3725.000000000005</v>
      </c>
      <c r="AI33" t="str">
        <f ca="1"/>
        <v>AMZN</v>
      </c>
      <c r="AJ33" s="96">
        <f ca="1"/>
        <v>3045.0000000000018</v>
      </c>
      <c r="AK33" s="99" t="str">
        <f ca="1"/>
        <v>RWE</v>
      </c>
      <c r="AL33" s="333">
        <f ca="1"/>
        <v>6.3009226190476201E-3</v>
      </c>
      <c r="AM33" t="str">
        <f ca="1"/>
        <v>NVS</v>
      </c>
      <c r="AN33" s="333">
        <f ca="1"/>
        <v>0.44472117064647654</v>
      </c>
      <c r="AO33" t="str">
        <f ca="1"/>
        <v>TSLA</v>
      </c>
      <c r="AP33" s="333">
        <f ca="1"/>
        <v>-0.15259849977269285</v>
      </c>
      <c r="AQ33" s="96" t="str">
        <f ca="1"/>
        <v>AET</v>
      </c>
      <c r="AR33" s="99">
        <f ca="1"/>
        <v>0.50529318229344988</v>
      </c>
    </row>
    <row r="34" spans="1:44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AAPL</v>
      </c>
      <c r="F34" s="599">
        <f ca="1"/>
        <v>1.0247636500725472</v>
      </c>
      <c r="G34" s="165" t="str">
        <f ca="1"/>
        <v>MVESAP</v>
      </c>
      <c r="H34" s="600">
        <f ca="1"/>
        <v>52374.036999999931</v>
      </c>
      <c r="I34" t="str">
        <v>AET</v>
      </c>
      <c r="J34" s="601">
        <v>3.9060000000000002E-3</v>
      </c>
      <c r="K34" s="165" t="str">
        <f ca="1"/>
        <v>AET</v>
      </c>
      <c r="L34" s="601">
        <f ca="1"/>
        <v>3.9060000000000002E-3</v>
      </c>
      <c r="M34" s="1" t="str">
        <f ca="1"/>
        <v>SAFDIS</v>
      </c>
      <c r="N34" s="600">
        <f ca="1"/>
        <v>4931.2</v>
      </c>
      <c r="O34" t="str">
        <f ca="1"/>
        <v>BLDP</v>
      </c>
      <c r="P34" s="600">
        <f ca="1"/>
        <v>1097.2499999999989</v>
      </c>
      <c r="Q34" t="str">
        <f ca="1"/>
        <v>MVERWE</v>
      </c>
      <c r="R34" s="705">
        <f ca="1"/>
        <v>6.3009226190476201E-3</v>
      </c>
      <c r="S34" t="str">
        <f ca="1"/>
        <v>PROF</v>
      </c>
      <c r="T34" s="96">
        <f ca="1"/>
        <v>60</v>
      </c>
      <c r="U34" t="str">
        <f ca="1"/>
        <v>WBA</v>
      </c>
      <c r="V34" s="96">
        <f ca="1"/>
        <v>0</v>
      </c>
      <c r="W34" t="str">
        <v>AAPL</v>
      </c>
      <c r="X34">
        <v>6</v>
      </c>
      <c r="Y34" t="str">
        <v>MVEDSY</v>
      </c>
      <c r="Z34">
        <v>8</v>
      </c>
      <c r="AA34" t="str">
        <v>SAFIAG</v>
      </c>
      <c r="AB34">
        <v>51</v>
      </c>
      <c r="AC34" t="str">
        <v>MVEEOAN</v>
      </c>
      <c r="AD34">
        <v>52</v>
      </c>
      <c r="AE34" t="str">
        <f ca="1"/>
        <v>MVERWE</v>
      </c>
      <c r="AF34" s="96">
        <f ca="1"/>
        <v>0</v>
      </c>
      <c r="AG34" t="str">
        <f ca="1"/>
        <v>JBEOAN</v>
      </c>
      <c r="AH34" s="96">
        <f ca="1"/>
        <v>3525.0000000000005</v>
      </c>
      <c r="AI34" t="str">
        <f ca="1"/>
        <v>UN0</v>
      </c>
      <c r="AJ34" s="96">
        <f ca="1"/>
        <v>2817.0694999999992</v>
      </c>
      <c r="AK34" s="99" t="str">
        <f ca="1"/>
        <v>MVERWE</v>
      </c>
      <c r="AL34" s="333">
        <f ca="1"/>
        <v>6.3009226190476201E-3</v>
      </c>
      <c r="AM34" t="str">
        <f ca="1"/>
        <v>MVEEOAN</v>
      </c>
      <c r="AN34" s="333">
        <f ca="1"/>
        <v>0.40269778481012658</v>
      </c>
      <c r="AO34" t="str">
        <f ca="1"/>
        <v>JBEOAN</v>
      </c>
      <c r="AP34" s="333">
        <f ca="1"/>
        <v>-0.15184166903476365</v>
      </c>
      <c r="AQ34" s="96" t="str">
        <f ca="1"/>
        <v>DDD</v>
      </c>
      <c r="AR34" s="99">
        <f ca="1"/>
        <v>0.48665350613681257</v>
      </c>
    </row>
    <row r="35" spans="1:44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SAFAAPL</v>
      </c>
      <c r="F35" s="599">
        <f ca="1"/>
        <v>1.0247636500725472</v>
      </c>
      <c r="G35" s="165" t="str">
        <f ca="1"/>
        <v>MA</v>
      </c>
      <c r="H35" s="600">
        <f ca="1"/>
        <v>50846.758999999998</v>
      </c>
      <c r="I35" t="str">
        <v>RIGL</v>
      </c>
      <c r="J35" s="601">
        <v>3.7019999999999996E-3</v>
      </c>
      <c r="K35" s="165" t="str">
        <f ca="1"/>
        <v>RIGL</v>
      </c>
      <c r="L35" s="601">
        <f ca="1"/>
        <v>3.7019999999999996E-3</v>
      </c>
      <c r="M35" s="1" t="str">
        <f ca="1"/>
        <v>CVS</v>
      </c>
      <c r="N35" s="600">
        <f ca="1"/>
        <v>4733.4524999999985</v>
      </c>
      <c r="O35" t="str">
        <f ca="1"/>
        <v>F</v>
      </c>
      <c r="P35" s="600">
        <f ca="1"/>
        <v>538.64999999999907</v>
      </c>
      <c r="Q35" t="str">
        <f ca="1"/>
        <v>MVEORA</v>
      </c>
      <c r="R35" s="705">
        <f ca="1"/>
        <v>5.7525023809523804E-3</v>
      </c>
      <c r="S35" t="str">
        <f ca="1"/>
        <v>C</v>
      </c>
      <c r="T35" s="96">
        <f ca="1"/>
        <v>3.5000000000000568</v>
      </c>
      <c r="U35" t="str">
        <f ca="1"/>
        <v>SAFGM</v>
      </c>
      <c r="V35" s="96">
        <f ca="1"/>
        <v>0</v>
      </c>
      <c r="W35" t="str">
        <v>AET</v>
      </c>
      <c r="X35">
        <v>6</v>
      </c>
      <c r="Y35" t="str">
        <v>DDD</v>
      </c>
      <c r="Z35">
        <v>9</v>
      </c>
      <c r="AA35" t="str">
        <v>RRC</v>
      </c>
      <c r="AB35">
        <v>51</v>
      </c>
      <c r="AC35" t="str">
        <v>JBEOAN</v>
      </c>
      <c r="AD35">
        <v>52</v>
      </c>
      <c r="AE35" t="str">
        <f ca="1"/>
        <v>MVESAP</v>
      </c>
      <c r="AF35" s="96">
        <f ca="1"/>
        <v>0</v>
      </c>
      <c r="AG35" t="str">
        <f ca="1"/>
        <v>HPQ</v>
      </c>
      <c r="AH35" s="96">
        <f ca="1"/>
        <v>3005.0019999999977</v>
      </c>
      <c r="AI35" t="str">
        <f ca="1"/>
        <v>RRC</v>
      </c>
      <c r="AJ35" s="96">
        <f ca="1"/>
        <v>2795.0000000000232</v>
      </c>
      <c r="AK35" s="99" t="str">
        <f ca="1"/>
        <v>MVEORA</v>
      </c>
      <c r="AL35" s="333">
        <f ca="1"/>
        <v>5.7525023809523804E-3</v>
      </c>
      <c r="AM35" t="str">
        <f ca="1"/>
        <v>CVS</v>
      </c>
      <c r="AN35" s="333">
        <f ca="1"/>
        <v>0.33692042707504727</v>
      </c>
      <c r="AO35" t="str">
        <f ca="1"/>
        <v>AAPL</v>
      </c>
      <c r="AP35" s="333">
        <f ca="1"/>
        <v>-0.1449642701401791</v>
      </c>
      <c r="AQ35" s="96" t="str">
        <f ca="1"/>
        <v>RWE</v>
      </c>
      <c r="AR35" s="99">
        <f ca="1"/>
        <v>0.4634411733153514</v>
      </c>
    </row>
    <row r="36" spans="1:44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HPE</v>
      </c>
      <c r="F36" s="599">
        <f ca="1"/>
        <v>1.0086085497549011</v>
      </c>
      <c r="G36" s="165" t="str">
        <f ca="1"/>
        <v>ADEA</v>
      </c>
      <c r="H36" s="600">
        <f ca="1"/>
        <v>47456.09498200001</v>
      </c>
      <c r="I36" t="str">
        <v>ALDNE</v>
      </c>
      <c r="J36" s="601">
        <v>2.2520000000000001E-3</v>
      </c>
      <c r="K36" s="165" t="str">
        <f ca="1"/>
        <v>ALDNE</v>
      </c>
      <c r="L36" s="601">
        <f ca="1"/>
        <v>2.2520000000000001E-3</v>
      </c>
      <c r="M36" s="1" t="str">
        <f ca="1"/>
        <v>HPQ</v>
      </c>
      <c r="N36" s="600">
        <f ca="1"/>
        <v>3005.0019999999977</v>
      </c>
      <c r="O36" t="str">
        <f ca="1"/>
        <v>C</v>
      </c>
      <c r="P36" s="600">
        <f ca="1"/>
        <v>199.47506250000038</v>
      </c>
      <c r="Q36" t="str">
        <f ca="1"/>
        <v>ORA</v>
      </c>
      <c r="R36" s="705">
        <f ca="1"/>
        <v>5.7525023809523804E-3</v>
      </c>
      <c r="S36" t="str">
        <f ca="1"/>
        <v>MVEEOAN</v>
      </c>
      <c r="T36" s="96">
        <f ca="1"/>
        <v>1.75</v>
      </c>
      <c r="U36" t="str">
        <f ca="1"/>
        <v>SAFIAG</v>
      </c>
      <c r="V36" s="96">
        <f ca="1"/>
        <v>0</v>
      </c>
      <c r="W36" t="str">
        <v>WBA</v>
      </c>
      <c r="X36">
        <v>6</v>
      </c>
      <c r="Y36" t="str">
        <v>SSYS</v>
      </c>
      <c r="Z36">
        <v>9</v>
      </c>
      <c r="AA36" t="str">
        <v>AAPL</v>
      </c>
      <c r="AB36">
        <v>50</v>
      </c>
      <c r="AC36" t="str">
        <v>ADEA</v>
      </c>
      <c r="AD36">
        <v>51</v>
      </c>
      <c r="AE36" t="str">
        <f ca="1"/>
        <v>SAFAAPL</v>
      </c>
      <c r="AF36" s="96">
        <f ca="1"/>
        <v>0</v>
      </c>
      <c r="AG36" t="str">
        <f ca="1"/>
        <v>NEE</v>
      </c>
      <c r="AH36" s="96">
        <f ca="1"/>
        <v>2638.2279999999696</v>
      </c>
      <c r="AI36" t="str">
        <f ca="1"/>
        <v>DIS</v>
      </c>
      <c r="AJ36" s="96">
        <f ca="1"/>
        <v>2727.9999999999973</v>
      </c>
      <c r="AK36" s="99" t="str">
        <f ca="1"/>
        <v>ORA</v>
      </c>
      <c r="AL36" s="333">
        <f ca="1"/>
        <v>5.7525023809523804E-3</v>
      </c>
      <c r="AM36" t="str">
        <f ca="1"/>
        <v>THC</v>
      </c>
      <c r="AN36" s="333">
        <f ca="1"/>
        <v>0.33000767772985035</v>
      </c>
      <c r="AO36" t="str">
        <f ca="1"/>
        <v>RRC</v>
      </c>
      <c r="AP36" s="333">
        <f ca="1"/>
        <v>-0.14385977337110478</v>
      </c>
      <c r="AQ36" s="96" t="str">
        <f ca="1"/>
        <v>F</v>
      </c>
      <c r="AR36" s="99">
        <f ca="1"/>
        <v>0.46267628954852014</v>
      </c>
    </row>
    <row r="37" spans="1:44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BLDP</v>
      </c>
      <c r="F37" s="599">
        <f ca="1"/>
        <v>1.0067384855147652</v>
      </c>
      <c r="G37" s="165" t="str">
        <f ca="1"/>
        <v>GS</v>
      </c>
      <c r="H37" s="600">
        <f ca="1"/>
        <v>45917.739000000023</v>
      </c>
      <c r="I37" t="str">
        <v>MVEALDNE</v>
      </c>
      <c r="J37" s="601">
        <v>2.2520000000000001E-3</v>
      </c>
      <c r="K37" s="165" t="str">
        <f ca="1"/>
        <v>MVEALDNE</v>
      </c>
      <c r="L37" s="601">
        <f ca="1"/>
        <v>2.2520000000000001E-3</v>
      </c>
      <c r="M37" s="1" t="str">
        <f ca="1"/>
        <v>NEE</v>
      </c>
      <c r="N37" s="600">
        <f ca="1"/>
        <v>2458.2280000000028</v>
      </c>
      <c r="O37" t="str">
        <f ca="1"/>
        <v>AZN</v>
      </c>
      <c r="P37" s="600">
        <f ca="1"/>
        <v>99.74999999999433</v>
      </c>
      <c r="Q37" t="str">
        <f ca="1"/>
        <v>NVAX</v>
      </c>
      <c r="R37" s="705">
        <f ca="1"/>
        <v>5.3653749999999969E-3</v>
      </c>
      <c r="S37" t="str">
        <f ca="1"/>
        <v>X</v>
      </c>
      <c r="T37" s="96">
        <f ca="1"/>
        <v>0.10000000000013642</v>
      </c>
      <c r="U37" t="str">
        <f ca="1"/>
        <v>GLE</v>
      </c>
      <c r="V37" s="96">
        <f ca="1"/>
        <v>0</v>
      </c>
      <c r="W37" t="str">
        <v>SAFAAPL</v>
      </c>
      <c r="X37">
        <v>6</v>
      </c>
      <c r="Y37" t="str">
        <v>MVEDDD</v>
      </c>
      <c r="Z37">
        <v>9</v>
      </c>
      <c r="AA37" t="str">
        <v>BMRA</v>
      </c>
      <c r="AB37">
        <v>50</v>
      </c>
      <c r="AC37" t="str">
        <v>AMZN</v>
      </c>
      <c r="AD37">
        <v>51</v>
      </c>
      <c r="AE37" t="str">
        <f ca="1"/>
        <v>SAFAMZN</v>
      </c>
      <c r="AF37" s="96">
        <f ca="1"/>
        <v>0</v>
      </c>
      <c r="AG37" t="str">
        <f ca="1"/>
        <v>LUMN</v>
      </c>
      <c r="AH37" s="96">
        <f ca="1"/>
        <v>1973.3999999999999</v>
      </c>
      <c r="AI37" t="str">
        <f ca="1"/>
        <v>JBEOAN</v>
      </c>
      <c r="AJ37" s="96">
        <f ca="1"/>
        <v>2716.4000000000055</v>
      </c>
      <c r="AK37" s="99" t="str">
        <f ca="1"/>
        <v>NVAX</v>
      </c>
      <c r="AL37" s="333">
        <f ca="1"/>
        <v>5.3653749999999969E-3</v>
      </c>
      <c r="AM37" t="str">
        <f ca="1"/>
        <v>RWE</v>
      </c>
      <c r="AN37" s="333">
        <f ca="1"/>
        <v>0.26581247796968627</v>
      </c>
      <c r="AO37" t="str">
        <f ca="1"/>
        <v>MVEORA</v>
      </c>
      <c r="AP37" s="333">
        <f ca="1"/>
        <v>-0.14018413840356289</v>
      </c>
      <c r="AQ37" s="96" t="str">
        <f ca="1"/>
        <v>SAFDDD</v>
      </c>
      <c r="AR37" s="99">
        <f ca="1"/>
        <v>0.45279555362924828</v>
      </c>
    </row>
    <row r="38" spans="1:44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LOCK</v>
      </c>
      <c r="F38" s="599">
        <f ca="1"/>
        <v>1</v>
      </c>
      <c r="G38" s="165" t="str">
        <f ca="1"/>
        <v>HPQ</v>
      </c>
      <c r="H38" s="600">
        <f ca="1"/>
        <v>45549.208000000042</v>
      </c>
      <c r="I38" t="str">
        <v>TSM</v>
      </c>
      <c r="J38" s="601">
        <v>1.815E-3</v>
      </c>
      <c r="K38" s="165" t="str">
        <f ca="1"/>
        <v>TSM</v>
      </c>
      <c r="L38" s="601">
        <f ca="1"/>
        <v>1.815E-3</v>
      </c>
      <c r="M38" s="1" t="str">
        <f ca="1"/>
        <v>SAFASML</v>
      </c>
      <c r="N38" s="600">
        <f ca="1"/>
        <v>2228.4619999999927</v>
      </c>
      <c r="O38" t="str">
        <f ca="1"/>
        <v>NEM</v>
      </c>
      <c r="P38" s="600">
        <f ca="1"/>
        <v>9.9749999999909278</v>
      </c>
      <c r="Q38" t="str">
        <f ca="1"/>
        <v>XPER</v>
      </c>
      <c r="R38" s="705">
        <f ca="1"/>
        <v>5.2075416666666659E-3</v>
      </c>
      <c r="S38" t="str">
        <f ca="1"/>
        <v>LNSR</v>
      </c>
      <c r="T38" s="96">
        <f ca="1"/>
        <v>0</v>
      </c>
      <c r="U38" t="str">
        <f ca="1"/>
        <v>GNRC</v>
      </c>
      <c r="V38" s="96">
        <f ca="1"/>
        <v>0</v>
      </c>
      <c r="W38" t="str">
        <v>NOTE</v>
      </c>
      <c r="X38">
        <v>7</v>
      </c>
      <c r="Y38" t="str">
        <v>MVEORA</v>
      </c>
      <c r="Z38">
        <v>9</v>
      </c>
      <c r="AA38" t="str">
        <v>SAFAAPL</v>
      </c>
      <c r="AB38">
        <v>50</v>
      </c>
      <c r="AC38" t="str">
        <v>DDD</v>
      </c>
      <c r="AD38">
        <v>51</v>
      </c>
      <c r="AE38" t="str">
        <f ca="1"/>
        <v>SAFASML</v>
      </c>
      <c r="AF38" s="96">
        <f ca="1"/>
        <v>0</v>
      </c>
      <c r="AG38" t="str">
        <f ca="1"/>
        <v>AET</v>
      </c>
      <c r="AH38" s="96">
        <f ca="1"/>
        <v>1940.1711930000001</v>
      </c>
      <c r="AI38" t="str">
        <f ca="1"/>
        <v>LUV</v>
      </c>
      <c r="AJ38" s="96">
        <f ca="1"/>
        <v>2377.8299999999972</v>
      </c>
      <c r="AK38" s="99" t="str">
        <f ca="1"/>
        <v>XPER</v>
      </c>
      <c r="AL38" s="333">
        <f ca="1"/>
        <v>5.2075416666666659E-3</v>
      </c>
      <c r="AM38" t="str">
        <f ca="1"/>
        <v>F</v>
      </c>
      <c r="AN38" s="333">
        <f ca="1"/>
        <v>0.26409177043854903</v>
      </c>
      <c r="AO38" t="str">
        <f ca="1"/>
        <v>ORA</v>
      </c>
      <c r="AP38" s="333">
        <f ca="1"/>
        <v>-0.1370323741007195</v>
      </c>
      <c r="AQ38" s="96" t="str">
        <f ca="1"/>
        <v>DSY</v>
      </c>
      <c r="AR38" s="99">
        <f ca="1"/>
        <v>0.42870456663560025</v>
      </c>
    </row>
    <row r="39" spans="1:44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LUMN</v>
      </c>
      <c r="F39" s="599">
        <f ca="1"/>
        <v>0.9738413012271655</v>
      </c>
      <c r="G39" s="165" t="str">
        <f ca="1"/>
        <v>NEE</v>
      </c>
      <c r="H39" s="600">
        <f ca="1"/>
        <v>44856.521999999968</v>
      </c>
      <c r="I39" t="str">
        <v>MVEORA</v>
      </c>
      <c r="J39" s="601">
        <v>7.1989999999999999E-4</v>
      </c>
      <c r="K39" s="165" t="str">
        <f ca="1"/>
        <v>MVEORA</v>
      </c>
      <c r="L39" s="601">
        <f ca="1"/>
        <v>7.1989999999999999E-4</v>
      </c>
      <c r="M39" s="1" t="str">
        <f ca="1"/>
        <v>LUMN</v>
      </c>
      <c r="N39" s="600">
        <f ca="1"/>
        <v>1973.3999999999999</v>
      </c>
      <c r="O39" t="str">
        <f ca="1"/>
        <v>ALDNE</v>
      </c>
      <c r="P39" s="600">
        <f ca="1"/>
        <v>0</v>
      </c>
      <c r="Q39" t="str">
        <f ca="1"/>
        <v>AAPL</v>
      </c>
      <c r="R39" s="705">
        <f ca="1"/>
        <v>3.9424285714285707E-3</v>
      </c>
      <c r="S39" t="str">
        <f ca="1"/>
        <v>PW</v>
      </c>
      <c r="T39" s="96">
        <f ca="1"/>
        <v>0</v>
      </c>
      <c r="U39" t="str">
        <f ca="1"/>
        <v>GS</v>
      </c>
      <c r="V39" s="96">
        <f ca="1"/>
        <v>0</v>
      </c>
      <c r="W39" t="str">
        <v>F</v>
      </c>
      <c r="X39">
        <v>7</v>
      </c>
      <c r="Y39" t="str">
        <v>SAFDDD</v>
      </c>
      <c r="Z39">
        <v>9</v>
      </c>
      <c r="AA39" t="str">
        <v>AVGO</v>
      </c>
      <c r="AB39">
        <v>49</v>
      </c>
      <c r="AC39" t="str">
        <v>MVEDDD</v>
      </c>
      <c r="AD39">
        <v>51</v>
      </c>
      <c r="AE39" t="str">
        <f ca="1"/>
        <v>SAFDIS</v>
      </c>
      <c r="AF39" s="96">
        <f ca="1"/>
        <v>0</v>
      </c>
      <c r="AG39" t="str">
        <f ca="1"/>
        <v>DSY</v>
      </c>
      <c r="AH39" s="96">
        <f ca="1"/>
        <v>1839.9999999999964</v>
      </c>
      <c r="AI39" t="str">
        <f ca="1"/>
        <v>SAFDIS</v>
      </c>
      <c r="AJ39" s="96">
        <f ca="1"/>
        <v>2310</v>
      </c>
      <c r="AK39" s="99" t="str">
        <f ca="1"/>
        <v>AAPL</v>
      </c>
      <c r="AL39" s="333">
        <f ca="1"/>
        <v>3.9424285714285707E-3</v>
      </c>
      <c r="AM39" t="str">
        <f ca="1"/>
        <v>GM</v>
      </c>
      <c r="AN39" s="333">
        <f ca="1"/>
        <v>0.25279431613677267</v>
      </c>
      <c r="AO39" t="str">
        <f ca="1"/>
        <v>SAFAAPL</v>
      </c>
      <c r="AP39" s="333">
        <f ca="1"/>
        <v>-0.13552195924296151</v>
      </c>
      <c r="AQ39" s="96" t="str">
        <f ca="1"/>
        <v>KR</v>
      </c>
      <c r="AR39" s="99">
        <f ca="1"/>
        <v>0.4248713477650658</v>
      </c>
    </row>
    <row r="40" spans="1:44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F</v>
      </c>
      <c r="F40" s="599">
        <f ca="1"/>
        <v>0.97213522762766735</v>
      </c>
      <c r="G40" s="165" t="str">
        <f ca="1"/>
        <v>GLE</v>
      </c>
      <c r="H40" s="600">
        <f ca="1"/>
        <v>43473.079999999994</v>
      </c>
      <c r="I40" t="str">
        <v>ORA</v>
      </c>
      <c r="J40" s="601">
        <v>7.1989999999999999E-4</v>
      </c>
      <c r="K40" s="165" t="str">
        <f ca="1"/>
        <v>ORA</v>
      </c>
      <c r="L40" s="601">
        <f ca="1"/>
        <v>7.1989999999999999E-4</v>
      </c>
      <c r="M40" s="1" t="str">
        <f ca="1"/>
        <v>ENI</v>
      </c>
      <c r="N40" s="600">
        <f ca="1"/>
        <v>1807.9999999999998</v>
      </c>
      <c r="O40" t="str">
        <f ca="1"/>
        <v>BMRA</v>
      </c>
      <c r="P40" s="600">
        <f ca="1"/>
        <v>0</v>
      </c>
      <c r="Q40" t="str">
        <f ca="1"/>
        <v>SAFAAPL</v>
      </c>
      <c r="R40" s="705">
        <f ca="1"/>
        <v>3.9424285714285707E-3</v>
      </c>
      <c r="S40" t="str">
        <f ca="1"/>
        <v>SAFGM</v>
      </c>
      <c r="T40" s="96">
        <f ca="1"/>
        <v>0</v>
      </c>
      <c r="U40" t="str">
        <f ca="1"/>
        <v>NVS</v>
      </c>
      <c r="V40" s="96">
        <f ca="1"/>
        <v>0</v>
      </c>
      <c r="W40" t="str">
        <v>MVEGLE</v>
      </c>
      <c r="X40">
        <v>8</v>
      </c>
      <c r="Y40" t="str">
        <v>EZJ</v>
      </c>
      <c r="Z40">
        <v>9</v>
      </c>
      <c r="AA40" t="str">
        <v>GS</v>
      </c>
      <c r="AB40">
        <v>49</v>
      </c>
      <c r="AC40" t="str">
        <v>SAFAMZN</v>
      </c>
      <c r="AD40">
        <v>51</v>
      </c>
      <c r="AE40" t="str">
        <f ca="1"/>
        <v>SAFGM</v>
      </c>
      <c r="AF40" s="96">
        <f ca="1"/>
        <v>0</v>
      </c>
      <c r="AG40" t="str">
        <f ca="1"/>
        <v>ENI</v>
      </c>
      <c r="AH40" s="96">
        <f ca="1"/>
        <v>1807.9999999999998</v>
      </c>
      <c r="AI40" t="str">
        <f ca="1"/>
        <v>SAFAMZN</v>
      </c>
      <c r="AJ40" s="96">
        <f ca="1"/>
        <v>2284.9999999999964</v>
      </c>
      <c r="AK40" s="99" t="str">
        <f ca="1"/>
        <v>SAFAAPL</v>
      </c>
      <c r="AL40" s="333">
        <f ca="1"/>
        <v>3.9424285714285707E-3</v>
      </c>
      <c r="AM40" t="str">
        <f ca="1"/>
        <v>HPE</v>
      </c>
      <c r="AN40" s="333">
        <f ca="1"/>
        <v>0.22257295829670437</v>
      </c>
      <c r="AO40" t="str">
        <f ca="1"/>
        <v>EOAN</v>
      </c>
      <c r="AP40" s="333">
        <f ca="1"/>
        <v>-0.12721819645732696</v>
      </c>
      <c r="AQ40" s="96" t="str">
        <f ca="1"/>
        <v>ORA</v>
      </c>
      <c r="AR40" s="99">
        <f ca="1"/>
        <v>0.41549710059668887</v>
      </c>
    </row>
    <row r="41" spans="1:44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RWE</v>
      </c>
      <c r="F41" s="599">
        <f ca="1"/>
        <v>0.95258558395808868</v>
      </c>
      <c r="G41" s="165" t="str">
        <f ca="1"/>
        <v>SAFDIS</v>
      </c>
      <c r="H41" s="600">
        <f ca="1"/>
        <v>40809.419999999976</v>
      </c>
      <c r="I41" t="str">
        <v>AVGO</v>
      </c>
      <c r="J41" s="601">
        <v>6.6739999999999996E-4</v>
      </c>
      <c r="K41" s="165" t="str">
        <f ca="1"/>
        <v>AVGO</v>
      </c>
      <c r="L41" s="601">
        <f ca="1"/>
        <v>6.6739999999999996E-4</v>
      </c>
      <c r="M41" s="1" t="str">
        <f ca="1"/>
        <v>XOM</v>
      </c>
      <c r="N41" s="600">
        <f ca="1"/>
        <v>1219.9999999999989</v>
      </c>
      <c r="O41" t="str">
        <f ca="1"/>
        <v>NOTE</v>
      </c>
      <c r="P41" s="600">
        <f ca="1"/>
        <v>0</v>
      </c>
      <c r="Q41" t="str">
        <f ca="1"/>
        <v>AMZN</v>
      </c>
      <c r="R41" s="705">
        <f ca="1"/>
        <v>3.8713297619047621E-3</v>
      </c>
      <c r="S41" t="str">
        <f ca="1"/>
        <v>SAFIAG</v>
      </c>
      <c r="T41" s="96">
        <f ca="1"/>
        <v>0</v>
      </c>
      <c r="U41" t="str">
        <f ca="1"/>
        <v>ORA</v>
      </c>
      <c r="V41" s="96">
        <f ca="1"/>
        <v>0</v>
      </c>
      <c r="W41" t="str">
        <v>MVEORA</v>
      </c>
      <c r="X41">
        <v>8</v>
      </c>
      <c r="Y41" t="str">
        <v>ORA</v>
      </c>
      <c r="Z41">
        <v>9</v>
      </c>
      <c r="AA41" t="str">
        <v>EPIX</v>
      </c>
      <c r="AB41">
        <v>48</v>
      </c>
      <c r="AC41" t="str">
        <v>SAFDDD</v>
      </c>
      <c r="AD41">
        <v>51</v>
      </c>
      <c r="AE41" t="str">
        <f ca="1"/>
        <v>SAFIAG</v>
      </c>
      <c r="AF41" s="96">
        <f ca="1"/>
        <v>0</v>
      </c>
      <c r="AG41" t="str">
        <f ca="1"/>
        <v>SSYS</v>
      </c>
      <c r="AH41" s="96">
        <f ca="1"/>
        <v>1680.0000000000016</v>
      </c>
      <c r="AI41" t="str">
        <f ca="1"/>
        <v>CSCO</v>
      </c>
      <c r="AJ41" s="96">
        <f ca="1"/>
        <v>1789.999999999992</v>
      </c>
      <c r="AK41" s="99" t="str">
        <f ca="1"/>
        <v>AMZN</v>
      </c>
      <c r="AL41" s="333">
        <f ca="1"/>
        <v>3.8713297619047621E-3</v>
      </c>
      <c r="AM41" t="str">
        <f ca="1"/>
        <v>VLVLY</v>
      </c>
      <c r="AN41" s="333">
        <f ca="1"/>
        <v>0.21327500000000013</v>
      </c>
      <c r="AO41" t="str">
        <f ca="1"/>
        <v>SAFAMZN</v>
      </c>
      <c r="AP41" s="333">
        <f ca="1"/>
        <v>-0.12615768134998906</v>
      </c>
      <c r="AQ41" s="96" t="str">
        <f ca="1"/>
        <v>HPQ</v>
      </c>
      <c r="AR41" s="99">
        <f ca="1"/>
        <v>0.41294047398320399</v>
      </c>
    </row>
    <row r="42" spans="1:44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MVERWE</v>
      </c>
      <c r="F42" s="599">
        <f ca="1"/>
        <v>0.95258558395808868</v>
      </c>
      <c r="G42" s="165" t="str">
        <f ca="1"/>
        <v>GNRC</v>
      </c>
      <c r="H42" s="600">
        <f ca="1"/>
        <v>40670.850000000006</v>
      </c>
      <c r="I42" t="str">
        <v>XOM</v>
      </c>
      <c r="J42" s="601">
        <v>4.459E-4</v>
      </c>
      <c r="K42" s="165" t="str">
        <f ca="1"/>
        <v>XOM</v>
      </c>
      <c r="L42" s="601">
        <f ca="1"/>
        <v>4.459E-4</v>
      </c>
      <c r="M42" s="1" t="str">
        <f ca="1"/>
        <v>LUV</v>
      </c>
      <c r="N42" s="600">
        <f ca="1"/>
        <v>1161.120000000001</v>
      </c>
      <c r="O42" t="str">
        <f ca="1"/>
        <v>UNIT</v>
      </c>
      <c r="P42" s="600">
        <f ca="1"/>
        <v>0</v>
      </c>
      <c r="Q42" t="str">
        <f ca="1"/>
        <v>SAFAMZN</v>
      </c>
      <c r="R42" s="705">
        <f ca="1"/>
        <v>3.8713297619047621E-3</v>
      </c>
      <c r="S42" t="str">
        <f ca="1"/>
        <v>GLE</v>
      </c>
      <c r="T42" s="96">
        <f ca="1"/>
        <v>0</v>
      </c>
      <c r="U42" t="str">
        <f ca="1"/>
        <v>RRC</v>
      </c>
      <c r="V42" s="96">
        <f ca="1"/>
        <v>0</v>
      </c>
      <c r="W42" t="str">
        <v>GLE</v>
      </c>
      <c r="X42">
        <v>8</v>
      </c>
      <c r="Y42" t="str">
        <v>RRC</v>
      </c>
      <c r="Z42">
        <v>9</v>
      </c>
      <c r="AA42" t="str">
        <v>SSYS</v>
      </c>
      <c r="AB42">
        <v>48</v>
      </c>
      <c r="AC42" t="str">
        <v>BLDP</v>
      </c>
      <c r="AD42">
        <v>48</v>
      </c>
      <c r="AE42" t="str">
        <f ca="1"/>
        <v>ENI</v>
      </c>
      <c r="AF42" s="96">
        <f ca="1"/>
        <v>0</v>
      </c>
      <c r="AG42" t="str">
        <f ca="1"/>
        <v>SAFASML</v>
      </c>
      <c r="AH42" s="96">
        <f ca="1"/>
        <v>1414.9999999999977</v>
      </c>
      <c r="AI42" t="str">
        <f ca="1"/>
        <v>PW</v>
      </c>
      <c r="AJ42" s="96">
        <f ca="1"/>
        <v>1533.06</v>
      </c>
      <c r="AK42" s="99" t="str">
        <f ca="1"/>
        <v>SAFAMZN</v>
      </c>
      <c r="AL42" s="333">
        <f ca="1"/>
        <v>3.8713297619047621E-3</v>
      </c>
      <c r="AM42" t="str">
        <f ca="1"/>
        <v>XYZ</v>
      </c>
      <c r="AN42" s="333">
        <f ca="1"/>
        <v>0.21097771865646822</v>
      </c>
      <c r="AO42" t="str">
        <f ca="1"/>
        <v>AZN</v>
      </c>
      <c r="AP42" s="333">
        <f ca="1"/>
        <v>-0.12467194570135745</v>
      </c>
      <c r="AQ42" s="96" t="str">
        <f ca="1"/>
        <v>GS</v>
      </c>
      <c r="AR42" s="99">
        <f ca="1"/>
        <v>0.40423691497168052</v>
      </c>
    </row>
    <row r="43" spans="1:44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NEE</v>
      </c>
      <c r="F43" s="599">
        <f ca="1"/>
        <v>0.95237938910510245</v>
      </c>
      <c r="G43" s="165" t="str">
        <f ca="1"/>
        <v>C</v>
      </c>
      <c r="H43" s="600">
        <f ca="1"/>
        <v>40496.765000000007</v>
      </c>
      <c r="I43" t="str">
        <v>WBA</v>
      </c>
      <c r="J43" s="601">
        <v>0</v>
      </c>
      <c r="K43" s="165" t="str">
        <f ca="1"/>
        <v>WBA</v>
      </c>
      <c r="L43" s="601">
        <f ca="1"/>
        <v>0</v>
      </c>
      <c r="M43" s="1" t="str">
        <f ca="1"/>
        <v>TSLA</v>
      </c>
      <c r="N43" s="600">
        <f ca="1"/>
        <v>594.30000000000007</v>
      </c>
      <c r="O43" t="str">
        <f ca="1"/>
        <v>MVEALDNE</v>
      </c>
      <c r="P43" s="600">
        <f ca="1"/>
        <v>0</v>
      </c>
      <c r="Q43" t="str">
        <f ca="1"/>
        <v>RRC</v>
      </c>
      <c r="R43" s="705">
        <f ca="1"/>
        <v>3.8214642857142857E-3</v>
      </c>
      <c r="S43" t="str">
        <f ca="1"/>
        <v>GNRC</v>
      </c>
      <c r="T43" s="96">
        <f ca="1"/>
        <v>0</v>
      </c>
      <c r="U43" t="str">
        <f ca="1"/>
        <v>XYZ</v>
      </c>
      <c r="V43" s="96">
        <f ca="1"/>
        <v>0</v>
      </c>
      <c r="W43" t="str">
        <v>LAZR</v>
      </c>
      <c r="X43">
        <v>8</v>
      </c>
      <c r="Y43" t="str">
        <v>DVA</v>
      </c>
      <c r="Z43">
        <v>10</v>
      </c>
      <c r="AA43" t="str">
        <v>TSM</v>
      </c>
      <c r="AB43">
        <v>48</v>
      </c>
      <c r="AC43" t="str">
        <v>IAG</v>
      </c>
      <c r="AD43">
        <v>48</v>
      </c>
      <c r="AE43" t="str">
        <f ca="1"/>
        <v>EZJ</v>
      </c>
      <c r="AF43" s="96">
        <f ca="1"/>
        <v>0</v>
      </c>
      <c r="AG43" t="str">
        <f ca="1"/>
        <v>XOM</v>
      </c>
      <c r="AH43" s="96">
        <f ca="1"/>
        <v>1219.9999999999989</v>
      </c>
      <c r="AI43" t="str">
        <f ca="1"/>
        <v>RIGL</v>
      </c>
      <c r="AJ43" s="96">
        <f ca="1"/>
        <v>759.99999999999795</v>
      </c>
      <c r="AK43" s="99" t="str">
        <f ca="1"/>
        <v>RRC</v>
      </c>
      <c r="AL43" s="333">
        <f ca="1"/>
        <v>3.8214642857142857E-3</v>
      </c>
      <c r="AM43" t="str">
        <f ca="1"/>
        <v>VTRS</v>
      </c>
      <c r="AN43" s="333">
        <f ca="1"/>
        <v>0.20968104495747272</v>
      </c>
      <c r="AO43" t="str">
        <f ca="1"/>
        <v>CSCO</v>
      </c>
      <c r="AP43" s="333">
        <f ca="1"/>
        <v>-0.11665902600330676</v>
      </c>
      <c r="AQ43" s="96" t="str">
        <f ca="1"/>
        <v>NVS</v>
      </c>
      <c r="AR43" s="99">
        <f ca="1"/>
        <v>0.38474678836935733</v>
      </c>
    </row>
    <row r="44" spans="1:44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NEM</v>
      </c>
      <c r="F44" s="599">
        <f ca="1"/>
        <v>0.94519567236959046</v>
      </c>
      <c r="G44" s="165" t="str">
        <f ca="1"/>
        <v>DVA</v>
      </c>
      <c r="H44" s="600">
        <f ca="1"/>
        <v>40211.189999999944</v>
      </c>
      <c r="I44" t="str">
        <v>X</v>
      </c>
      <c r="J44" s="601">
        <v>0</v>
      </c>
      <c r="K44" s="165" t="str">
        <f ca="1"/>
        <v>X</v>
      </c>
      <c r="L44" s="601">
        <f ca="1"/>
        <v>0</v>
      </c>
      <c r="M44" s="1" t="str">
        <f ca="1"/>
        <v>KR</v>
      </c>
      <c r="N44" s="600">
        <f ca="1"/>
        <v>513.60000000003333</v>
      </c>
      <c r="O44" t="str">
        <f ca="1"/>
        <v>MVEEPIX</v>
      </c>
      <c r="P44" s="600">
        <f ca="1"/>
        <v>0</v>
      </c>
      <c r="Q44" t="str">
        <f ca="1"/>
        <v>PAAS</v>
      </c>
      <c r="R44" s="705">
        <f ca="1"/>
        <v>3.0459464285714282E-3</v>
      </c>
      <c r="S44" t="str">
        <f ca="1"/>
        <v>GS</v>
      </c>
      <c r="T44" s="96">
        <f ca="1"/>
        <v>0</v>
      </c>
      <c r="U44" t="str">
        <f ca="1"/>
        <v>X</v>
      </c>
      <c r="V44" s="96">
        <f ca="1"/>
        <v>0</v>
      </c>
      <c r="W44" t="str">
        <v>NVAX</v>
      </c>
      <c r="X44">
        <v>8</v>
      </c>
      <c r="Y44" t="str">
        <v>LUMN</v>
      </c>
      <c r="Z44">
        <v>10</v>
      </c>
      <c r="AA44" t="str">
        <v>UN0</v>
      </c>
      <c r="AB44">
        <v>48</v>
      </c>
      <c r="AC44" t="str">
        <v>SAFIAG</v>
      </c>
      <c r="AD44">
        <v>48</v>
      </c>
      <c r="AE44" t="str">
        <f ca="1"/>
        <v>F</v>
      </c>
      <c r="AF44" s="96">
        <f ca="1"/>
        <v>0</v>
      </c>
      <c r="AG44" t="str">
        <f ca="1"/>
        <v>LUV</v>
      </c>
      <c r="AH44" s="96">
        <f ca="1"/>
        <v>1161.120000000001</v>
      </c>
      <c r="AI44" t="str">
        <f ca="1"/>
        <v>ENI</v>
      </c>
      <c r="AJ44" s="96">
        <f ca="1"/>
        <v>656.00000000000239</v>
      </c>
      <c r="AK44" s="99" t="str">
        <f ca="1"/>
        <v>PAAS</v>
      </c>
      <c r="AL44" s="333">
        <f ca="1"/>
        <v>3.0459464285714282E-3</v>
      </c>
      <c r="AM44" t="str">
        <f ca="1"/>
        <v>LUMN</v>
      </c>
      <c r="AN44" s="333">
        <f ca="1"/>
        <v>0.1941939604995758</v>
      </c>
      <c r="AO44" t="str">
        <f ca="1"/>
        <v>AMZN</v>
      </c>
      <c r="AP44" s="333">
        <f ca="1"/>
        <v>-0.11388479501909528</v>
      </c>
      <c r="AQ44" s="96" t="str">
        <f ca="1"/>
        <v>VONN</v>
      </c>
      <c r="AR44" s="99">
        <f ca="1"/>
        <v>0.35265829548490446</v>
      </c>
    </row>
    <row r="45" spans="1:44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MA</v>
      </c>
      <c r="F45" s="599">
        <f ca="1"/>
        <v>0.93986094147726729</v>
      </c>
      <c r="G45" s="165" t="str">
        <f ca="1"/>
        <v>MVERWE</v>
      </c>
      <c r="H45" s="600">
        <f ca="1"/>
        <v>37551.069999999985</v>
      </c>
      <c r="I45" t="str">
        <v>ADEA</v>
      </c>
      <c r="J45" s="601">
        <v>-6.3860000000000002E-4</v>
      </c>
      <c r="K45" s="165" t="str">
        <f ca="1"/>
        <v>ADEA</v>
      </c>
      <c r="L45" s="601">
        <f ca="1"/>
        <v>-6.3860000000000002E-4</v>
      </c>
      <c r="M45" s="1" t="str">
        <f ca="1"/>
        <v>RWE</v>
      </c>
      <c r="N45" s="600">
        <f ca="1"/>
        <v>377.99999999999994</v>
      </c>
      <c r="O45" t="str">
        <f ca="1"/>
        <v>LAZR</v>
      </c>
      <c r="P45" s="600">
        <f ca="1"/>
        <v>0</v>
      </c>
      <c r="Q45" t="str">
        <f ca="1"/>
        <v>XYZ</v>
      </c>
      <c r="R45" s="705">
        <f ca="1"/>
        <v>2.8044345238095233E-3</v>
      </c>
      <c r="S45" t="str">
        <f ca="1"/>
        <v>NVS</v>
      </c>
      <c r="T45" s="96">
        <f ca="1"/>
        <v>0</v>
      </c>
      <c r="U45" t="str">
        <f ca="1"/>
        <v>MVERWE</v>
      </c>
      <c r="V45" s="96">
        <f ca="1"/>
        <v>-0.25</v>
      </c>
      <c r="W45" t="str">
        <v>ORA</v>
      </c>
      <c r="X45">
        <v>8</v>
      </c>
      <c r="Y45" t="str">
        <v>LUV</v>
      </c>
      <c r="Z45">
        <v>10</v>
      </c>
      <c r="AA45" t="str">
        <v>MVEEPIX</v>
      </c>
      <c r="AB45">
        <v>48</v>
      </c>
      <c r="AC45" t="str">
        <v>EPIX</v>
      </c>
      <c r="AD45">
        <v>47</v>
      </c>
      <c r="AE45" t="str">
        <f ca="1"/>
        <v>GLE</v>
      </c>
      <c r="AF45" s="96">
        <f ca="1"/>
        <v>0</v>
      </c>
      <c r="AG45" t="str">
        <f ca="1"/>
        <v>KR</v>
      </c>
      <c r="AH45" s="96">
        <f ca="1"/>
        <v>732.59999999999968</v>
      </c>
      <c r="AI45" t="str">
        <f ca="1"/>
        <v>VONN</v>
      </c>
      <c r="AJ45" s="96">
        <f ca="1"/>
        <v>505</v>
      </c>
      <c r="AK45" s="99" t="str">
        <f ca="1"/>
        <v>XYZ</v>
      </c>
      <c r="AL45" s="333">
        <f ca="1"/>
        <v>2.8044345238095233E-3</v>
      </c>
      <c r="AM45" t="str">
        <f ca="1"/>
        <v>WBA</v>
      </c>
      <c r="AN45" s="333">
        <f ca="1"/>
        <v>0.19038954164554317</v>
      </c>
      <c r="AO45" t="str">
        <f ca="1"/>
        <v>HPQ</v>
      </c>
      <c r="AP45" s="333">
        <f ca="1"/>
        <v>-0.1099942586299409</v>
      </c>
      <c r="AQ45" s="96" t="str">
        <f ca="1"/>
        <v>CSCO</v>
      </c>
      <c r="AR45" s="99">
        <f ca="1"/>
        <v>0.34882319058016631</v>
      </c>
    </row>
    <row r="46" spans="1:44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CVS</v>
      </c>
      <c r="F46" s="599">
        <f ca="1"/>
        <v>0.93561724412236513</v>
      </c>
      <c r="G46" s="165" t="str">
        <f ca="1"/>
        <v>MVEENI</v>
      </c>
      <c r="H46" s="600">
        <f ca="1"/>
        <v>35930.777999999933</v>
      </c>
      <c r="I46" t="str">
        <v>IAG</v>
      </c>
      <c r="J46" s="601">
        <v>-7.8469999999999994E-4</v>
      </c>
      <c r="K46" s="165" t="str">
        <f ca="1"/>
        <v>IAG</v>
      </c>
      <c r="L46" s="601">
        <f ca="1"/>
        <v>-7.8469999999999994E-4</v>
      </c>
      <c r="M46" s="1" t="str">
        <f ca="1"/>
        <v>X</v>
      </c>
      <c r="N46" s="600">
        <f ca="1"/>
        <v>238.82794000000007</v>
      </c>
      <c r="O46" t="str">
        <f ca="1"/>
        <v>LOCK</v>
      </c>
      <c r="P46" s="600">
        <f ca="1"/>
        <v>0</v>
      </c>
      <c r="Q46" t="str">
        <f ca="1"/>
        <v>BMRA</v>
      </c>
      <c r="R46" s="705">
        <f ca="1"/>
        <v>2.5996845238095223E-3</v>
      </c>
      <c r="S46" t="str">
        <f ca="1"/>
        <v>ORA</v>
      </c>
      <c r="T46" s="96">
        <f ca="1"/>
        <v>0</v>
      </c>
      <c r="U46" t="str">
        <f ca="1"/>
        <v>RWE</v>
      </c>
      <c r="V46" s="96">
        <f ca="1"/>
        <v>-12.5</v>
      </c>
      <c r="W46" t="str">
        <v>EOAN</v>
      </c>
      <c r="X46">
        <v>9</v>
      </c>
      <c r="Y46" t="str">
        <v>ASML</v>
      </c>
      <c r="Z46">
        <v>11</v>
      </c>
      <c r="AA46" t="str">
        <v>MVEGLE</v>
      </c>
      <c r="AB46">
        <v>48</v>
      </c>
      <c r="AC46" t="str">
        <v>MVEEPIX</v>
      </c>
      <c r="AD46">
        <v>47</v>
      </c>
      <c r="AE46" t="str">
        <f ca="1"/>
        <v>GNRC</v>
      </c>
      <c r="AF46" s="96">
        <f ca="1"/>
        <v>0</v>
      </c>
      <c r="AG46" t="str">
        <f ca="1"/>
        <v>TSLA</v>
      </c>
      <c r="AH46" s="96">
        <f ca="1"/>
        <v>594.30000000000007</v>
      </c>
      <c r="AI46" t="str">
        <f ca="1"/>
        <v>THC</v>
      </c>
      <c r="AJ46" s="96">
        <f ca="1"/>
        <v>402.50000000000341</v>
      </c>
      <c r="AK46" s="99" t="str">
        <f ca="1"/>
        <v>BMRA</v>
      </c>
      <c r="AL46" s="333">
        <f ca="1"/>
        <v>2.5996845238095223E-3</v>
      </c>
      <c r="AM46" t="str">
        <f ca="1"/>
        <v>TSLA</v>
      </c>
      <c r="AN46" s="333">
        <f ca="1"/>
        <v>0.17616541856111265</v>
      </c>
      <c r="AO46" t="str">
        <f ca="1"/>
        <v>MVEENI</v>
      </c>
      <c r="AP46" s="333">
        <f ca="1"/>
        <v>-9.0962908211261892E-2</v>
      </c>
      <c r="AQ46" s="96" t="str">
        <f ca="1"/>
        <v>WBA</v>
      </c>
      <c r="AR46" s="99">
        <f ca="1"/>
        <v>0.31519272949527732</v>
      </c>
    </row>
    <row r="47" spans="1:44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NVAX</v>
      </c>
      <c r="F47" s="599">
        <f ca="1"/>
        <v>0.93153205533487649</v>
      </c>
      <c r="G47" s="165" t="str">
        <f ca="1"/>
        <v>RWE</v>
      </c>
      <c r="H47" s="600">
        <f ca="1"/>
        <v>35929.852499999921</v>
      </c>
      <c r="I47" t="str">
        <v>SAFIAG</v>
      </c>
      <c r="J47" s="601">
        <v>-7.8469999999999994E-4</v>
      </c>
      <c r="K47" s="165" t="str">
        <f ca="1"/>
        <v>SAFIAG</v>
      </c>
      <c r="L47" s="601">
        <f ca="1"/>
        <v>-7.8469999999999994E-4</v>
      </c>
      <c r="M47" s="1" t="str">
        <f ca="1"/>
        <v>C</v>
      </c>
      <c r="N47" s="600">
        <f ca="1"/>
        <v>183.65000000000003</v>
      </c>
      <c r="O47" t="str">
        <f ca="1"/>
        <v>EOAN</v>
      </c>
      <c r="P47" s="600">
        <f ca="1"/>
        <v>-18.70312499999628</v>
      </c>
      <c r="Q47" t="str">
        <f ca="1"/>
        <v>DSY</v>
      </c>
      <c r="R47" s="705">
        <f ca="1"/>
        <v>2.0969630952380959E-3</v>
      </c>
      <c r="S47" t="str">
        <f ca="1"/>
        <v>RRC</v>
      </c>
      <c r="T47" s="96">
        <f ca="1"/>
        <v>0</v>
      </c>
      <c r="U47" t="str">
        <f ca="1"/>
        <v>GM</v>
      </c>
      <c r="V47" s="96">
        <f ca="1"/>
        <v>-14.949999999999932</v>
      </c>
      <c r="W47" t="str">
        <v>LNSR</v>
      </c>
      <c r="X47">
        <v>9</v>
      </c>
      <c r="Y47" t="str">
        <v>PAAS</v>
      </c>
      <c r="Z47">
        <v>11</v>
      </c>
      <c r="AA47" t="str">
        <v>MVEUN0</v>
      </c>
      <c r="AB47">
        <v>48</v>
      </c>
      <c r="AC47" t="str">
        <v>NVAX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377.99999999999994</v>
      </c>
      <c r="AI47" t="str">
        <f ca="1"/>
        <v>VLVLY</v>
      </c>
      <c r="AJ47" s="96">
        <f ca="1"/>
        <v>383.24999999999852</v>
      </c>
      <c r="AK47" s="99" t="str">
        <f ca="1"/>
        <v>DSY</v>
      </c>
      <c r="AL47" s="333">
        <f ca="1"/>
        <v>2.0969630952380959E-3</v>
      </c>
      <c r="AM47" t="str">
        <f ca="1"/>
        <v>AAPL</v>
      </c>
      <c r="AN47" s="333">
        <f ca="1"/>
        <v>0.16571683781392837</v>
      </c>
      <c r="AO47" t="str">
        <f ca="1"/>
        <v>MVERWE</v>
      </c>
      <c r="AP47" s="333">
        <f ca="1"/>
        <v>-8.1403423323128332E-2</v>
      </c>
      <c r="AQ47" s="96" t="str">
        <f ca="1"/>
        <v>LUMN</v>
      </c>
      <c r="AR47" s="99">
        <f ca="1"/>
        <v>0.30739051919204713</v>
      </c>
    </row>
    <row r="48" spans="1:44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CSCO</v>
      </c>
      <c r="F48" s="599">
        <f ca="1"/>
        <v>0.88546777090552331</v>
      </c>
      <c r="G48" s="165" t="str">
        <f ca="1"/>
        <v>EZJ</v>
      </c>
      <c r="H48" s="600">
        <f ca="1"/>
        <v>26551.403000000006</v>
      </c>
      <c r="I48" t="str">
        <v>DVA</v>
      </c>
      <c r="J48" s="601">
        <v>-1.126E-3</v>
      </c>
      <c r="K48" s="165" t="str">
        <f ca="1"/>
        <v>DVA</v>
      </c>
      <c r="L48" s="601">
        <f ca="1"/>
        <v>-1.126E-3</v>
      </c>
      <c r="M48" s="1" t="str">
        <f ca="1"/>
        <v>GM</v>
      </c>
      <c r="N48" s="600">
        <f ca="1"/>
        <v>118.29</v>
      </c>
      <c r="O48" t="str">
        <f ca="1"/>
        <v>MVEORA</v>
      </c>
      <c r="P48" s="600">
        <f ca="1"/>
        <v>-59.84999999999873</v>
      </c>
      <c r="Q48" t="str">
        <f ca="1"/>
        <v>MVEDSY</v>
      </c>
      <c r="R48" s="705">
        <f ca="1"/>
        <v>2.0969630952380959E-3</v>
      </c>
      <c r="S48" t="str">
        <f ca="1"/>
        <v>XYZ</v>
      </c>
      <c r="T48" s="96">
        <f ca="1"/>
        <v>0</v>
      </c>
      <c r="U48" t="str">
        <f ca="1"/>
        <v>PROF</v>
      </c>
      <c r="V48" s="96">
        <f ca="1"/>
        <v>-40</v>
      </c>
      <c r="W48" t="str">
        <v>XOM</v>
      </c>
      <c r="X48">
        <v>9</v>
      </c>
      <c r="Y48" t="str">
        <v>POET</v>
      </c>
      <c r="Z48">
        <v>11</v>
      </c>
      <c r="AA48" t="str">
        <v>GLE</v>
      </c>
      <c r="AB48">
        <v>48</v>
      </c>
      <c r="AC48" t="str">
        <v>CSCO</v>
      </c>
      <c r="AD48">
        <v>46</v>
      </c>
      <c r="AE48" t="str">
        <f ca="1"/>
        <v>LUV</v>
      </c>
      <c r="AF48" s="96">
        <f ca="1"/>
        <v>0</v>
      </c>
      <c r="AG48" t="str">
        <f ca="1"/>
        <v>POET</v>
      </c>
      <c r="AH48" s="96">
        <f ca="1"/>
        <v>300.00000000000028</v>
      </c>
      <c r="AI48" t="str">
        <f ca="1"/>
        <v>AET</v>
      </c>
      <c r="AJ48" s="96">
        <f ca="1"/>
        <v>121.99999999999989</v>
      </c>
      <c r="AK48" s="99" t="str">
        <f ca="1"/>
        <v>MVEDSY</v>
      </c>
      <c r="AL48" s="333">
        <f ca="1"/>
        <v>2.0969630952380959E-3</v>
      </c>
      <c r="AM48" t="str">
        <f ca="1"/>
        <v>RRC</v>
      </c>
      <c r="AN48" s="333">
        <f ca="1"/>
        <v>0.16422055427251731</v>
      </c>
      <c r="AO48" t="str">
        <f ca="1"/>
        <v>SAFDIS</v>
      </c>
      <c r="AP48" s="333">
        <f ca="1"/>
        <v>-6.5964689143744065E-2</v>
      </c>
      <c r="AQ48" s="96" t="str">
        <f ca="1"/>
        <v>TSLA</v>
      </c>
      <c r="AR48" s="99">
        <f ca="1"/>
        <v>0.29989857039769496</v>
      </c>
    </row>
    <row r="49" spans="2:44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HPQ</v>
      </c>
      <c r="F49" s="599">
        <f ca="1"/>
        <v>0.88121744011287773</v>
      </c>
      <c r="G49" s="165" t="str">
        <f ca="1"/>
        <v>DIS</v>
      </c>
      <c r="H49" s="600">
        <f ca="1"/>
        <v>24272.487999999954</v>
      </c>
      <c r="I49" t="str">
        <v>VONN</v>
      </c>
      <c r="J49" s="601">
        <v>-1.6289999999999998E-3</v>
      </c>
      <c r="K49" s="165" t="str">
        <f ca="1"/>
        <v>VONN</v>
      </c>
      <c r="L49" s="601">
        <f ca="1"/>
        <v>-1.6289999999999998E-3</v>
      </c>
      <c r="M49" s="1" t="str">
        <f ca="1"/>
        <v>MVEEOAN</v>
      </c>
      <c r="N49" s="600">
        <f ca="1"/>
        <v>44.65</v>
      </c>
      <c r="O49" t="str">
        <f ca="1"/>
        <v>IAG</v>
      </c>
      <c r="P49" s="600">
        <f ca="1"/>
        <v>-98.228812499999108</v>
      </c>
      <c r="Q49" t="str">
        <f ca="1"/>
        <v>ALDNE</v>
      </c>
      <c r="R49" s="705">
        <f ca="1"/>
        <v>1.9985892857142867E-3</v>
      </c>
      <c r="S49" t="str">
        <f ca="1"/>
        <v>MVERWE</v>
      </c>
      <c r="T49" s="96">
        <f ca="1"/>
        <v>-2.0000000000003126E-2</v>
      </c>
      <c r="U49" t="str">
        <f ca="1"/>
        <v>MVEEPIX</v>
      </c>
      <c r="V49" s="96">
        <f ca="1"/>
        <v>-111.59999999999991</v>
      </c>
      <c r="W49" t="str">
        <v>MVEEOAN</v>
      </c>
      <c r="X49">
        <v>9</v>
      </c>
      <c r="Y49" t="str">
        <v>TSM</v>
      </c>
      <c r="Z49">
        <v>11</v>
      </c>
      <c r="AA49" t="str">
        <v>MA</v>
      </c>
      <c r="AB49">
        <v>47</v>
      </c>
      <c r="AC49" t="str">
        <v>SAP</v>
      </c>
      <c r="AD49">
        <v>46</v>
      </c>
      <c r="AE49" t="str">
        <f ca="1"/>
        <v>MA</v>
      </c>
      <c r="AF49" s="96">
        <f ca="1"/>
        <v>0</v>
      </c>
      <c r="AG49" t="str">
        <f ca="1"/>
        <v>ADEA</v>
      </c>
      <c r="AH49" s="96">
        <f ca="1"/>
        <v>266.00000000000006</v>
      </c>
      <c r="AI49" t="str">
        <f ca="1"/>
        <v>IAG</v>
      </c>
      <c r="AJ49" s="96">
        <f ca="1"/>
        <v>98.474999999999113</v>
      </c>
      <c r="AK49" s="99" t="str">
        <f ca="1"/>
        <v>ALDNE</v>
      </c>
      <c r="AL49" s="333">
        <f ca="1"/>
        <v>1.9985892857142867E-3</v>
      </c>
      <c r="AM49" t="str">
        <f ca="1"/>
        <v>MVEORA</v>
      </c>
      <c r="AN49" s="333">
        <f ca="1"/>
        <v>0.15926870207778798</v>
      </c>
      <c r="AO49" t="str">
        <f ca="1"/>
        <v>ENI</v>
      </c>
      <c r="AP49" s="333">
        <f ca="1"/>
        <v>-6.3244523585539572E-2</v>
      </c>
      <c r="AQ49" s="96" t="str">
        <f ca="1"/>
        <v>LOCK</v>
      </c>
      <c r="AR49" s="99">
        <f ca="1"/>
        <v>0.27732125887416847</v>
      </c>
    </row>
    <row r="50" spans="2:44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VONN</v>
      </c>
      <c r="F50" s="599">
        <f ca="1"/>
        <v>0.87123338257016247</v>
      </c>
      <c r="G50" s="165" t="str">
        <f ca="1"/>
        <v>SAP</v>
      </c>
      <c r="H50" s="600">
        <f ca="1"/>
        <v>20048.974999999977</v>
      </c>
      <c r="I50" t="str">
        <v>LUV</v>
      </c>
      <c r="J50" s="601">
        <v>-1.7340000000000001E-3</v>
      </c>
      <c r="K50" s="165" t="str">
        <f ca="1"/>
        <v>LUV</v>
      </c>
      <c r="L50" s="601">
        <f ca="1"/>
        <v>-1.7340000000000001E-3</v>
      </c>
      <c r="M50" s="1" t="str">
        <f ca="1"/>
        <v>MVERWE</v>
      </c>
      <c r="N50" s="600">
        <f ca="1"/>
        <v>2.8350000000000009</v>
      </c>
      <c r="O50" t="str">
        <f ca="1"/>
        <v>AET</v>
      </c>
      <c r="P50" s="600">
        <f ca="1"/>
        <v>-121.69499999999989</v>
      </c>
      <c r="Q50" t="str">
        <f ca="1"/>
        <v>MVEALDNE</v>
      </c>
      <c r="R50" s="705">
        <f ca="1"/>
        <v>1.9985892857142867E-3</v>
      </c>
      <c r="S50" t="str">
        <f ca="1"/>
        <v>RWE</v>
      </c>
      <c r="T50" s="96">
        <f ca="1"/>
        <v>-1.0000000000002274</v>
      </c>
      <c r="U50" t="str">
        <f ca="1"/>
        <v>EZJ</v>
      </c>
      <c r="V50" s="96">
        <f ca="1"/>
        <v>-120</v>
      </c>
      <c r="W50" t="str">
        <v>JBEOAN</v>
      </c>
      <c r="X50">
        <v>9</v>
      </c>
      <c r="Y50" t="str">
        <v>AVGO</v>
      </c>
      <c r="Z50">
        <v>11</v>
      </c>
      <c r="AA50" t="str">
        <v>AMZN</v>
      </c>
      <c r="AB50">
        <v>46</v>
      </c>
      <c r="AC50" t="str">
        <v>MVEGLE</v>
      </c>
      <c r="AD50">
        <v>46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MVEORA</v>
      </c>
      <c r="AJ50" s="96">
        <f ca="1"/>
        <v>59.999999999998721</v>
      </c>
      <c r="AK50" s="99" t="str">
        <f ca="1"/>
        <v>MVEALDNE</v>
      </c>
      <c r="AL50" s="333">
        <f ca="1"/>
        <v>1.9985892857142867E-3</v>
      </c>
      <c r="AM50" t="str">
        <f ca="1"/>
        <v>SAFAAPL</v>
      </c>
      <c r="AN50" s="333">
        <f ca="1"/>
        <v>0.15304817204942209</v>
      </c>
      <c r="AO50" t="str">
        <f ca="1"/>
        <v>MA</v>
      </c>
      <c r="AP50" s="333">
        <f ca="1"/>
        <v>-6.115238947803342E-2</v>
      </c>
      <c r="AQ50" s="96" t="str">
        <f ca="1"/>
        <v>SAFGM</v>
      </c>
      <c r="AR50" s="99">
        <f ca="1"/>
        <v>0.2739021939135039</v>
      </c>
    </row>
    <row r="51" spans="2:44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LNSR</v>
      </c>
      <c r="F51" s="599">
        <f ca="1"/>
        <v>0.84198483169513727</v>
      </c>
      <c r="G51" s="165" t="str">
        <f ca="1"/>
        <v>MVEEOAN</v>
      </c>
      <c r="H51" s="600">
        <f ca="1"/>
        <v>18115.135000000017</v>
      </c>
      <c r="I51" t="str">
        <v>MVEENI</v>
      </c>
      <c r="J51" s="601">
        <v>-2.6810000000000002E-3</v>
      </c>
      <c r="K51" s="165" t="str">
        <f ca="1"/>
        <v>MVEENI</v>
      </c>
      <c r="L51" s="601">
        <f ca="1"/>
        <v>-2.6810000000000002E-3</v>
      </c>
      <c r="M51" s="1" t="str">
        <f ca="1"/>
        <v>LNSR</v>
      </c>
      <c r="N51" s="600">
        <f ca="1"/>
        <v>0</v>
      </c>
      <c r="O51" t="str">
        <f ca="1"/>
        <v>VLVLY</v>
      </c>
      <c r="P51" s="600">
        <f ca="1"/>
        <v>-382.29187499999853</v>
      </c>
      <c r="Q51" t="str">
        <f ca="1"/>
        <v>LOCK</v>
      </c>
      <c r="R51" s="705">
        <f ca="1"/>
        <v>1.8361607142857149E-3</v>
      </c>
      <c r="S51" t="str">
        <f ca="1"/>
        <v>LUMN</v>
      </c>
      <c r="T51" s="96">
        <f ca="1"/>
        <v>-10</v>
      </c>
      <c r="U51" t="str">
        <f ca="1"/>
        <v>SAFASML</v>
      </c>
      <c r="V51" s="96">
        <f ca="1"/>
        <v>-126.00000000001455</v>
      </c>
      <c r="W51" t="str">
        <v>HPQ</v>
      </c>
      <c r="X51">
        <v>10</v>
      </c>
      <c r="Y51" t="str">
        <v>XPER</v>
      </c>
      <c r="Z51">
        <v>11</v>
      </c>
      <c r="AA51" t="str">
        <v>SAFAMZN</v>
      </c>
      <c r="AB51">
        <v>46</v>
      </c>
      <c r="AC51" t="str">
        <v>MVESAP</v>
      </c>
      <c r="AD51">
        <v>46</v>
      </c>
      <c r="AE51" t="str">
        <f ca="1"/>
        <v>ORA</v>
      </c>
      <c r="AF51" s="96">
        <f ca="1"/>
        <v>0</v>
      </c>
      <c r="AG51" t="str">
        <f ca="1"/>
        <v>C</v>
      </c>
      <c r="AH51" s="96">
        <f ca="1"/>
        <v>183.65000000000003</v>
      </c>
      <c r="AI51" t="str">
        <f ca="1"/>
        <v>EOAN</v>
      </c>
      <c r="AJ51" s="96">
        <f ca="1"/>
        <v>18.74999999999627</v>
      </c>
      <c r="AK51" s="99" t="str">
        <f ca="1"/>
        <v>LOCK</v>
      </c>
      <c r="AL51" s="333">
        <f ca="1"/>
        <v>1.8361607142857149E-3</v>
      </c>
      <c r="AM51" t="str">
        <f ca="1"/>
        <v>EOAN</v>
      </c>
      <c r="AN51" s="333">
        <f ca="1"/>
        <v>0.14213296844816495</v>
      </c>
      <c r="AO51" t="str">
        <f ca="1"/>
        <v>DIS</v>
      </c>
      <c r="AP51" s="333">
        <f ca="1"/>
        <v>-6.0187332930930398E-2</v>
      </c>
      <c r="AQ51" s="96" t="str">
        <f ca="1"/>
        <v>VLVLY</v>
      </c>
      <c r="AR51" s="99">
        <f ca="1"/>
        <v>0.27198384654215058</v>
      </c>
    </row>
    <row r="52" spans="2:44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DSY</v>
      </c>
      <c r="F52" s="599">
        <f ca="1"/>
        <v>0.84064482926332695</v>
      </c>
      <c r="G52" s="165" t="str">
        <f ca="1"/>
        <v>LUMN</v>
      </c>
      <c r="H52" s="600">
        <f ca="1"/>
        <v>14508.9</v>
      </c>
      <c r="I52" t="str">
        <v>ENI</v>
      </c>
      <c r="J52" s="601">
        <v>-2.6810000000000002E-3</v>
      </c>
      <c r="K52" s="165" t="str">
        <f ca="1"/>
        <v>ENI</v>
      </c>
      <c r="L52" s="601">
        <f ca="1"/>
        <v>-2.6810000000000002E-3</v>
      </c>
      <c r="M52" s="1" t="str">
        <f ca="1"/>
        <v>SAFGM</v>
      </c>
      <c r="N52" s="600">
        <f ca="1"/>
        <v>0</v>
      </c>
      <c r="O52" t="str">
        <f ca="1"/>
        <v>THC</v>
      </c>
      <c r="P52" s="600">
        <f ca="1"/>
        <v>-401.49375000000344</v>
      </c>
      <c r="Q52" t="str">
        <f ca="1"/>
        <v>MVEENI</v>
      </c>
      <c r="R52" s="705">
        <f ca="1"/>
        <v>1.6098059523809527E-3</v>
      </c>
      <c r="S52" t="str">
        <f ca="1"/>
        <v>GM</v>
      </c>
      <c r="T52" s="96">
        <f ca="1"/>
        <v>-13.449999999999932</v>
      </c>
      <c r="U52" t="str">
        <f ca="1"/>
        <v>VLVLY</v>
      </c>
      <c r="V52" s="96">
        <f ca="1"/>
        <v>-174.15000000000146</v>
      </c>
      <c r="W52" t="str">
        <v>KR</v>
      </c>
      <c r="X52">
        <v>10</v>
      </c>
      <c r="Y52" t="str">
        <v>SAFASML</v>
      </c>
      <c r="Z52">
        <v>11</v>
      </c>
      <c r="AA52" t="str">
        <v>EZJ</v>
      </c>
      <c r="AB52">
        <v>46</v>
      </c>
      <c r="AC52" t="str">
        <v>GLE</v>
      </c>
      <c r="AD52">
        <v>46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118.29</v>
      </c>
      <c r="AI52" t="str">
        <f ca="1"/>
        <v>ALDNE</v>
      </c>
      <c r="AJ52" s="96">
        <f ca="1"/>
        <v>0</v>
      </c>
      <c r="AK52" s="99" t="str">
        <f ca="1"/>
        <v>MVEENI</v>
      </c>
      <c r="AL52" s="333">
        <f ca="1"/>
        <v>1.6098059523809527E-3</v>
      </c>
      <c r="AM52" t="str">
        <f ca="1"/>
        <v>AZN</v>
      </c>
      <c r="AN52" s="333">
        <f ca="1"/>
        <v>0.13882731958762884</v>
      </c>
      <c r="AO52" t="str">
        <f ca="1"/>
        <v>XOM</v>
      </c>
      <c r="AP52" s="333">
        <f ca="1"/>
        <v>-5.6872047419556065E-2</v>
      </c>
      <c r="AQ52" s="96" t="str">
        <f ca="1"/>
        <v>SAFAMZN</v>
      </c>
      <c r="AR52" s="99">
        <f ca="1"/>
        <v>0.27046855500510542</v>
      </c>
    </row>
    <row r="53" spans="2:44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MVEDSY</v>
      </c>
      <c r="F53" s="599">
        <f ca="1"/>
        <v>0.84064482926332695</v>
      </c>
      <c r="G53" s="165" t="str">
        <f ca="1"/>
        <v>GM</v>
      </c>
      <c r="H53" s="600">
        <f ca="1"/>
        <v>14292.98</v>
      </c>
      <c r="I53" t="str">
        <v>GM</v>
      </c>
      <c r="J53" s="601">
        <v>-3.4920000000000003E-3</v>
      </c>
      <c r="K53" s="165" t="str">
        <f ca="1"/>
        <v>GM</v>
      </c>
      <c r="L53" s="601">
        <f ca="1"/>
        <v>-3.4920000000000003E-3</v>
      </c>
      <c r="M53" s="1" t="str">
        <f ca="1"/>
        <v>SAFIAG</v>
      </c>
      <c r="N53" s="600">
        <f ca="1"/>
        <v>0</v>
      </c>
      <c r="O53" t="str">
        <f ca="1"/>
        <v>VONN</v>
      </c>
      <c r="P53" s="600">
        <f ca="1"/>
        <v>-503.73750000000001</v>
      </c>
      <c r="Q53" t="str">
        <f ca="1"/>
        <v>ENI</v>
      </c>
      <c r="R53" s="705">
        <f ca="1"/>
        <v>1.6098059523809527E-3</v>
      </c>
      <c r="S53" t="str">
        <f ca="1"/>
        <v>VLVLY</v>
      </c>
      <c r="T53" s="96">
        <f ca="1"/>
        <v>-54.150000000001455</v>
      </c>
      <c r="U53" t="str">
        <f ca="1"/>
        <v>C</v>
      </c>
      <c r="V53" s="96">
        <f ca="1"/>
        <v>-174.49999999999994</v>
      </c>
      <c r="W53" t="str">
        <v>XPER</v>
      </c>
      <c r="X53">
        <v>10</v>
      </c>
      <c r="Y53" t="str">
        <v>RIGL</v>
      </c>
      <c r="Z53">
        <v>12</v>
      </c>
      <c r="AA53" t="str">
        <v>MSFT</v>
      </c>
      <c r="AB53">
        <v>43</v>
      </c>
      <c r="AC53" t="str">
        <v>AZN</v>
      </c>
      <c r="AD53">
        <v>45</v>
      </c>
      <c r="AE53" t="str">
        <f ca="1"/>
        <v>RRC</v>
      </c>
      <c r="AF53" s="96">
        <f ca="1"/>
        <v>0</v>
      </c>
      <c r="AG53" t="str">
        <f ca="1"/>
        <v>DIS</v>
      </c>
      <c r="AH53" s="96">
        <f ca="1"/>
        <v>58.000000000004093</v>
      </c>
      <c r="AI53" t="str">
        <f ca="1"/>
        <v>BMRA</v>
      </c>
      <c r="AJ53" s="96">
        <f ca="1"/>
        <v>0</v>
      </c>
      <c r="AK53" s="99" t="str">
        <f ca="1"/>
        <v>ENI</v>
      </c>
      <c r="AL53" s="333">
        <f ca="1"/>
        <v>1.6098059523809527E-3</v>
      </c>
      <c r="AM53" t="str">
        <f ca="1"/>
        <v>CSCO</v>
      </c>
      <c r="AN53" s="333">
        <f ca="1"/>
        <v>0.12854861287859504</v>
      </c>
      <c r="AO53" t="str">
        <f ca="1"/>
        <v>NFLX</v>
      </c>
      <c r="AP53" s="333">
        <f ca="1"/>
        <v>-5.5737858032378566E-2</v>
      </c>
      <c r="AQ53" s="96" t="str">
        <f ca="1"/>
        <v>MA</v>
      </c>
      <c r="AR53" s="99">
        <f ca="1"/>
        <v>0.26081930588534047</v>
      </c>
    </row>
    <row r="54" spans="2:44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XPER</v>
      </c>
      <c r="F54" s="599">
        <f ca="1"/>
        <v>0.8378930811488462</v>
      </c>
      <c r="G54" s="165" t="str">
        <f ca="1"/>
        <v>NVS</v>
      </c>
      <c r="H54" s="600">
        <f ca="1"/>
        <v>13562.79389999999</v>
      </c>
      <c r="I54" t="str">
        <v>SAFGM</v>
      </c>
      <c r="J54" s="601">
        <v>-3.4920000000000003E-3</v>
      </c>
      <c r="K54" s="165" t="str">
        <f ca="1"/>
        <v>SAFGM</v>
      </c>
      <c r="L54" s="601">
        <f ca="1"/>
        <v>-3.4920000000000003E-3</v>
      </c>
      <c r="M54" s="1" t="str">
        <f ca="1"/>
        <v>GLE</v>
      </c>
      <c r="N54" s="600">
        <f ca="1"/>
        <v>0</v>
      </c>
      <c r="O54" t="str">
        <f ca="1"/>
        <v>ENI</v>
      </c>
      <c r="P54" s="600">
        <f ca="1"/>
        <v>-654.3600000000024</v>
      </c>
      <c r="Q54" t="str">
        <f ca="1"/>
        <v>NEE</v>
      </c>
      <c r="R54" s="705">
        <f ca="1"/>
        <v>1.1538940476190484E-3</v>
      </c>
      <c r="S54" t="str">
        <f ca="1"/>
        <v>MVEEPIX</v>
      </c>
      <c r="T54" s="96">
        <f ca="1"/>
        <v>-97.199999999999818</v>
      </c>
      <c r="U54" t="str">
        <f ca="1"/>
        <v>XOM</v>
      </c>
      <c r="V54" s="96">
        <f ca="1"/>
        <v>-193</v>
      </c>
      <c r="W54" t="str">
        <v>POET</v>
      </c>
      <c r="X54">
        <v>11</v>
      </c>
      <c r="Y54" t="str">
        <v>EPIX</v>
      </c>
      <c r="Z54">
        <v>13</v>
      </c>
      <c r="AA54" t="str">
        <v>NFLX</v>
      </c>
      <c r="AB54">
        <v>43</v>
      </c>
      <c r="AC54" t="str">
        <v>LAZR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44.65</v>
      </c>
      <c r="AI54" t="str">
        <f ca="1"/>
        <v>NOTE</v>
      </c>
      <c r="AJ54" s="96">
        <f ca="1"/>
        <v>0</v>
      </c>
      <c r="AK54" s="99" t="str">
        <f ca="1"/>
        <v>NEE</v>
      </c>
      <c r="AL54" s="333">
        <f ca="1"/>
        <v>1.1538940476190484E-3</v>
      </c>
      <c r="AM54" t="str">
        <f ca="1"/>
        <v>HPQ</v>
      </c>
      <c r="AN54" s="333">
        <f ca="1"/>
        <v>0.1201398691494884</v>
      </c>
      <c r="AO54" t="str">
        <f ca="1"/>
        <v>ASML</v>
      </c>
      <c r="AP54" s="333">
        <f ca="1"/>
        <v>-5.3945319124493296E-2</v>
      </c>
      <c r="AQ54" s="96" t="str">
        <f ca="1"/>
        <v>MVERWE</v>
      </c>
      <c r="AR54" s="99">
        <f ca="1"/>
        <v>0.23186838527047346</v>
      </c>
    </row>
    <row r="55" spans="2:44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GNRC</v>
      </c>
      <c r="F55" s="599">
        <f ca="1"/>
        <v>0.82360535940415402</v>
      </c>
      <c r="G55" s="165" t="str">
        <f ca="1"/>
        <v>ENI</v>
      </c>
      <c r="H55" s="600">
        <f ca="1"/>
        <v>11561.036000000022</v>
      </c>
      <c r="I55" t="str">
        <v>PAAS</v>
      </c>
      <c r="J55" s="601">
        <v>-3.5310000000000003E-3</v>
      </c>
      <c r="K55" s="165" t="str">
        <f ca="1"/>
        <v>PAAS</v>
      </c>
      <c r="L55" s="601">
        <f ca="1"/>
        <v>-3.5310000000000003E-3</v>
      </c>
      <c r="M55" s="1" t="str">
        <f ca="1"/>
        <v>GNRC</v>
      </c>
      <c r="N55" s="600">
        <f ca="1"/>
        <v>0</v>
      </c>
      <c r="O55" t="str">
        <f ca="1"/>
        <v>RIGL</v>
      </c>
      <c r="P55" s="600">
        <f ca="1"/>
        <v>-758.09999999999798</v>
      </c>
      <c r="Q55" t="str">
        <f ca="1"/>
        <v>VONN</v>
      </c>
      <c r="R55" s="705">
        <f ca="1"/>
        <v>9.8314880952380941E-4</v>
      </c>
      <c r="S55" t="str">
        <f ca="1"/>
        <v>XOM</v>
      </c>
      <c r="T55" s="96">
        <f ca="1"/>
        <v>-134</v>
      </c>
      <c r="U55" t="str">
        <f ca="1"/>
        <v>EOAN</v>
      </c>
      <c r="V55" s="96">
        <f ca="1"/>
        <v>-206.25</v>
      </c>
      <c r="W55" t="str">
        <v>VONN</v>
      </c>
      <c r="X55">
        <v>11</v>
      </c>
      <c r="Y55" t="str">
        <v>UNIT</v>
      </c>
      <c r="Z55">
        <v>13</v>
      </c>
      <c r="AA55" t="str">
        <v>LUV</v>
      </c>
      <c r="AB55">
        <v>43</v>
      </c>
      <c r="AC55" t="str">
        <v>NFLX</v>
      </c>
      <c r="AD55">
        <v>44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2.8350000000000009</v>
      </c>
      <c r="AI55" t="str">
        <f ca="1"/>
        <v>UNIT</v>
      </c>
      <c r="AJ55" s="96">
        <f ca="1"/>
        <v>0</v>
      </c>
      <c r="AK55" s="99" t="str">
        <f ca="1"/>
        <v>VONN</v>
      </c>
      <c r="AL55" s="333">
        <f ca="1"/>
        <v>9.8314880952380941E-4</v>
      </c>
      <c r="AM55" t="str">
        <f ca="1"/>
        <v>MVEENI</v>
      </c>
      <c r="AN55" s="333">
        <f ca="1"/>
        <v>9.6805441858185001E-2</v>
      </c>
      <c r="AO55" t="str">
        <f ca="1"/>
        <v>AET</v>
      </c>
      <c r="AP55" s="333">
        <f ca="1"/>
        <v>-4.12019135812631E-2</v>
      </c>
      <c r="AQ55" s="96" t="str">
        <f ca="1"/>
        <v>GM</v>
      </c>
      <c r="AR55" s="99">
        <f ca="1"/>
        <v>0.22751630650001101</v>
      </c>
    </row>
    <row r="56" spans="2:44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THC</v>
      </c>
      <c r="F56" s="599">
        <f ca="1"/>
        <v>0.81019221150410858</v>
      </c>
      <c r="G56" s="165" t="str">
        <f ca="1"/>
        <v>RRC</v>
      </c>
      <c r="H56" s="600">
        <f ca="1"/>
        <v>9803.4699999999721</v>
      </c>
      <c r="I56" t="str">
        <v>THC</v>
      </c>
      <c r="J56" s="601">
        <v>-3.6720000000000004E-3</v>
      </c>
      <c r="K56" s="165" t="str">
        <f ca="1"/>
        <v>THC</v>
      </c>
      <c r="L56" s="601">
        <f ca="1"/>
        <v>-3.6720000000000004E-3</v>
      </c>
      <c r="M56" s="1" t="str">
        <f ca="1"/>
        <v>GS</v>
      </c>
      <c r="N56" s="600">
        <f ca="1"/>
        <v>0</v>
      </c>
      <c r="O56" t="str">
        <f ca="1"/>
        <v>PW</v>
      </c>
      <c r="P56" s="600">
        <f ca="1"/>
        <v>-1529.2273500000001</v>
      </c>
      <c r="Q56" t="str">
        <f ca="1"/>
        <v>CSCO</v>
      </c>
      <c r="R56" s="705">
        <f ca="1"/>
        <v>6.4225714285714389E-4</v>
      </c>
      <c r="S56" t="str">
        <f ca="1"/>
        <v>XPER</v>
      </c>
      <c r="T56" s="96">
        <f ca="1"/>
        <v>-149.99999999999636</v>
      </c>
      <c r="U56" t="str">
        <f ca="1"/>
        <v>CSCO</v>
      </c>
      <c r="V56" s="96">
        <f ca="1"/>
        <v>-240</v>
      </c>
      <c r="W56" t="str">
        <v>LUV</v>
      </c>
      <c r="X56">
        <v>11</v>
      </c>
      <c r="Y56" t="str">
        <v>MVEEPIX</v>
      </c>
      <c r="Z56">
        <v>13</v>
      </c>
      <c r="AA56" t="str">
        <v>NVAX</v>
      </c>
      <c r="AB56">
        <v>43</v>
      </c>
      <c r="AC56" t="str">
        <v>WBA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MVEALDNE</v>
      </c>
      <c r="AJ56" s="96">
        <f ca="1"/>
        <v>0</v>
      </c>
      <c r="AK56" s="99" t="str">
        <f ca="1"/>
        <v>CSCO</v>
      </c>
      <c r="AL56" s="333">
        <f ca="1"/>
        <v>6.4225714285714389E-4</v>
      </c>
      <c r="AM56" t="str">
        <f ca="1"/>
        <v>MVERWE</v>
      </c>
      <c r="AN56" s="333">
        <f ca="1"/>
        <v>8.5448330563529268E-2</v>
      </c>
      <c r="AO56" t="str">
        <f ca="1"/>
        <v>LUV</v>
      </c>
      <c r="AP56" s="333">
        <f ca="1"/>
        <v>-3.3057397757776753E-2</v>
      </c>
      <c r="AQ56" s="96" t="str">
        <f ca="1"/>
        <v>XYZ</v>
      </c>
      <c r="AR56" s="99">
        <f ca="1"/>
        <v>0.18616707714599104</v>
      </c>
    </row>
    <row r="57" spans="2:44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POET</v>
      </c>
      <c r="F57" s="599">
        <f ca="1"/>
        <v>0.79450942441704131</v>
      </c>
      <c r="G57" s="165" t="str">
        <f ca="1"/>
        <v>XOM</v>
      </c>
      <c r="H57" s="600">
        <f ca="1"/>
        <v>9414.1000000000058</v>
      </c>
      <c r="I57" t="str">
        <v>SSYS</v>
      </c>
      <c r="J57" s="601">
        <v>-4.0610000000000004E-3</v>
      </c>
      <c r="K57" s="165" t="str">
        <f ca="1"/>
        <v>SSYS</v>
      </c>
      <c r="L57" s="601">
        <f ca="1"/>
        <v>-4.0610000000000004E-3</v>
      </c>
      <c r="M57" s="1" t="str">
        <f ca="1"/>
        <v>NVS</v>
      </c>
      <c r="N57" s="600">
        <f ca="1"/>
        <v>0</v>
      </c>
      <c r="O57" t="str">
        <f ca="1"/>
        <v>CSCO</v>
      </c>
      <c r="P57" s="600">
        <f ca="1"/>
        <v>-1785.5249999999921</v>
      </c>
      <c r="Q57" t="str">
        <f ca="1"/>
        <v>KR</v>
      </c>
      <c r="R57" s="705">
        <f ca="1"/>
        <v>5.9856547619047563E-4</v>
      </c>
      <c r="S57" t="str">
        <f ca="1"/>
        <v>ADEA</v>
      </c>
      <c r="T57" s="96">
        <f ca="1"/>
        <v>-180</v>
      </c>
      <c r="U57" t="str">
        <f ca="1"/>
        <v>MVEGLE</v>
      </c>
      <c r="V57" s="96">
        <f ca="1"/>
        <v>-240</v>
      </c>
      <c r="W57" t="str">
        <v>NEE</v>
      </c>
      <c r="X57">
        <v>12</v>
      </c>
      <c r="Y57" t="str">
        <v>AMZN</v>
      </c>
      <c r="Z57">
        <v>14</v>
      </c>
      <c r="AA57" t="str">
        <v>DVA</v>
      </c>
      <c r="AB57">
        <v>42</v>
      </c>
      <c r="AC57" t="str">
        <v>AET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MVEEPIX</v>
      </c>
      <c r="AJ57" s="96">
        <f ca="1"/>
        <v>0</v>
      </c>
      <c r="AK57" s="99" t="str">
        <f ca="1"/>
        <v>KR</v>
      </c>
      <c r="AL57" s="333">
        <f ca="1"/>
        <v>5.9856547619047563E-4</v>
      </c>
      <c r="AM57" t="str">
        <f ca="1"/>
        <v>SAFDIS</v>
      </c>
      <c r="AN57" s="333">
        <f ca="1"/>
        <v>6.7595985636681705E-2</v>
      </c>
      <c r="AO57" t="str">
        <f ca="1"/>
        <v>VONN</v>
      </c>
      <c r="AP57" s="333">
        <f ca="1"/>
        <v>-2.3142489647383552E-2</v>
      </c>
      <c r="AQ57" s="96" t="str">
        <f ca="1"/>
        <v>ENI</v>
      </c>
      <c r="AR57" s="99">
        <f ca="1"/>
        <v>0.11469113674056415</v>
      </c>
    </row>
    <row r="58" spans="2:44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ASML</v>
      </c>
      <c r="F58" s="599">
        <f ca="1"/>
        <v>0.79148683855897939</v>
      </c>
      <c r="G58" s="165" t="str">
        <f ca="1"/>
        <v>MVEDDD</v>
      </c>
      <c r="H58" s="600">
        <f ca="1"/>
        <v>9260.4149999999972</v>
      </c>
      <c r="I58" t="str">
        <v>NEM</v>
      </c>
      <c r="J58" s="601">
        <v>-4.8339999999999998E-3</v>
      </c>
      <c r="K58" s="165" t="str">
        <f ca="1"/>
        <v>NEM</v>
      </c>
      <c r="L58" s="601">
        <f ca="1"/>
        <v>-4.8339999999999998E-3</v>
      </c>
      <c r="M58" s="1" t="str">
        <f ca="1"/>
        <v>ORA</v>
      </c>
      <c r="N58" s="600">
        <f ca="1"/>
        <v>0</v>
      </c>
      <c r="O58" t="str">
        <f ca="1"/>
        <v>SAFAMZN</v>
      </c>
      <c r="P58" s="600">
        <f ca="1"/>
        <v>-2279.2874999999963</v>
      </c>
      <c r="Q58" t="str">
        <f ca="1"/>
        <v>VLVLY</v>
      </c>
      <c r="R58" s="705">
        <f ca="1"/>
        <v>1.1223452380952365E-4</v>
      </c>
      <c r="S58" t="str">
        <f ca="1"/>
        <v>SAFDIS</v>
      </c>
      <c r="T58" s="96">
        <f ca="1"/>
        <v>-194.30000000000291</v>
      </c>
      <c r="U58" t="str">
        <f ca="1"/>
        <v>EPIX</v>
      </c>
      <c r="V58" s="96">
        <f ca="1"/>
        <v>-279</v>
      </c>
      <c r="W58" t="str">
        <v>OXY</v>
      </c>
      <c r="X58">
        <v>12</v>
      </c>
      <c r="Y58" t="str">
        <v>CVS</v>
      </c>
      <c r="Z58">
        <v>14</v>
      </c>
      <c r="AA58" t="str">
        <v>EOAN</v>
      </c>
      <c r="AB58">
        <v>42</v>
      </c>
      <c r="AC58" t="str">
        <v>PW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LAZR</v>
      </c>
      <c r="AJ58" s="96">
        <f ca="1"/>
        <v>0</v>
      </c>
      <c r="AK58" s="99" t="str">
        <f ca="1"/>
        <v>VLVLY</v>
      </c>
      <c r="AL58" s="333">
        <f ca="1"/>
        <v>1.1223452380952365E-4</v>
      </c>
      <c r="AM58" t="str">
        <f ca="1"/>
        <v>ENI</v>
      </c>
      <c r="AN58" s="333">
        <f ca="1"/>
        <v>6.4511375017885245E-2</v>
      </c>
      <c r="AO58" t="str">
        <f ca="1"/>
        <v>SAFASML</v>
      </c>
      <c r="AP58" s="333">
        <f ca="1"/>
        <v>-2.0447730421055965E-2</v>
      </c>
      <c r="AQ58" s="96" t="str">
        <f ca="1"/>
        <v>DIS</v>
      </c>
      <c r="AR58" s="99">
        <f ca="1"/>
        <v>0.11259949524364996</v>
      </c>
    </row>
    <row r="59" spans="2:44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SAFASML</v>
      </c>
      <c r="F59" s="599">
        <f ca="1"/>
        <v>0.79148683855897939</v>
      </c>
      <c r="G59" s="165" t="str">
        <f ca="1"/>
        <v>ORA</v>
      </c>
      <c r="H59" s="600">
        <f ca="1"/>
        <v>5965.2000000000116</v>
      </c>
      <c r="I59" t="str">
        <v>HPE</v>
      </c>
      <c r="J59" s="601">
        <v>-5.0280000000000004E-3</v>
      </c>
      <c r="K59" s="165" t="str">
        <f ca="1"/>
        <v>HPE</v>
      </c>
      <c r="L59" s="601">
        <f ca="1"/>
        <v>-5.0280000000000004E-3</v>
      </c>
      <c r="M59" s="1" t="str">
        <f ca="1"/>
        <v>RRC</v>
      </c>
      <c r="N59" s="600">
        <f ca="1"/>
        <v>0</v>
      </c>
      <c r="O59" t="str">
        <f ca="1"/>
        <v>SAFDIS</v>
      </c>
      <c r="P59" s="600">
        <f ca="1"/>
        <v>-2304.2249999999999</v>
      </c>
      <c r="Q59" t="str">
        <f ca="1"/>
        <v>X</v>
      </c>
      <c r="R59" s="705">
        <f ca="1"/>
        <v>0</v>
      </c>
      <c r="S59" t="str">
        <f ca="1"/>
        <v>F</v>
      </c>
      <c r="T59" s="96">
        <f ca="1"/>
        <v>-222</v>
      </c>
      <c r="U59" t="str">
        <f ca="1"/>
        <v>F</v>
      </c>
      <c r="V59" s="96">
        <f ca="1"/>
        <v>-372</v>
      </c>
      <c r="W59" t="str">
        <v>AMZN</v>
      </c>
      <c r="X59">
        <v>13</v>
      </c>
      <c r="Y59" t="str">
        <v>GM</v>
      </c>
      <c r="Z59">
        <v>14</v>
      </c>
      <c r="AA59" t="str">
        <v>SAP</v>
      </c>
      <c r="AB59">
        <v>42</v>
      </c>
      <c r="AC59" t="str">
        <v>MVEENI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LOCK</v>
      </c>
      <c r="AJ59" s="96">
        <f ca="1"/>
        <v>0</v>
      </c>
      <c r="AK59" s="99" t="str">
        <f ca="1"/>
        <v>X</v>
      </c>
      <c r="AL59" s="333">
        <f ca="1"/>
        <v>0</v>
      </c>
      <c r="AM59" t="str">
        <f ca="1"/>
        <v>XOM</v>
      </c>
      <c r="AN59" s="333">
        <f ca="1"/>
        <v>5.7354604581016065E-2</v>
      </c>
      <c r="AO59" t="str">
        <f ca="1"/>
        <v>NEE</v>
      </c>
      <c r="AP59" s="333">
        <f ca="1"/>
        <v>-1.066763021144825E-2</v>
      </c>
      <c r="AQ59" s="96" t="str">
        <f ca="1"/>
        <v>POET</v>
      </c>
      <c r="AR59" s="99">
        <f ca="1"/>
        <v>0.10680379746835453</v>
      </c>
    </row>
    <row r="60" spans="2:44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IAG</v>
      </c>
      <c r="F60" s="599">
        <f ca="1"/>
        <v>0.78391580326449306</v>
      </c>
      <c r="G60" s="165" t="str">
        <f ca="1"/>
        <v>MVEUN0</v>
      </c>
      <c r="H60" s="600">
        <f ca="1"/>
        <v>3380.4084999999977</v>
      </c>
      <c r="I60" t="str">
        <v>LUMN</v>
      </c>
      <c r="J60" s="601">
        <v>-5.7469999999999995E-3</v>
      </c>
      <c r="K60" s="165" t="str">
        <f ca="1"/>
        <v>LUMN</v>
      </c>
      <c r="L60" s="601">
        <f ca="1"/>
        <v>-5.7469999999999995E-3</v>
      </c>
      <c r="M60" s="1" t="str">
        <f ca="1"/>
        <v>XYZ</v>
      </c>
      <c r="N60" s="600">
        <f ca="1"/>
        <v>0</v>
      </c>
      <c r="O60" t="str">
        <f ca="1"/>
        <v>LUV</v>
      </c>
      <c r="P60" s="600">
        <f ca="1"/>
        <v>-2371.8854249999972</v>
      </c>
      <c r="Q60" t="str">
        <f ca="1"/>
        <v>DIS</v>
      </c>
      <c r="R60" s="705">
        <f ca="1"/>
        <v>-1.0578928571428536E-4</v>
      </c>
      <c r="S60" t="str">
        <f ca="1"/>
        <v>EPIX</v>
      </c>
      <c r="T60" s="96">
        <f ca="1"/>
        <v>-243</v>
      </c>
      <c r="U60" t="str">
        <f ca="1"/>
        <v>LUMN</v>
      </c>
      <c r="V60" s="96">
        <f ca="1"/>
        <v>-450</v>
      </c>
      <c r="W60" t="str">
        <v>BMRA</v>
      </c>
      <c r="X60">
        <v>13</v>
      </c>
      <c r="Y60" t="str">
        <v>HPE</v>
      </c>
      <c r="Z60">
        <v>14</v>
      </c>
      <c r="AA60" t="str">
        <v>MVEEOAN</v>
      </c>
      <c r="AB60">
        <v>42</v>
      </c>
      <c r="AC60" t="str">
        <v>ENI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GNRC</v>
      </c>
      <c r="AH60" s="96">
        <f ca="1"/>
        <v>0</v>
      </c>
      <c r="AI60" t="str">
        <f ca="1"/>
        <v>NEM</v>
      </c>
      <c r="AJ60" s="96">
        <f ca="1"/>
        <v>-9.9999999999909051</v>
      </c>
      <c r="AK60" s="99" t="str">
        <f ca="1"/>
        <v>DIS</v>
      </c>
      <c r="AL60" s="333">
        <f ca="1"/>
        <v>-1.0578928571428536E-4</v>
      </c>
      <c r="AM60" t="str">
        <f ca="1"/>
        <v>NFLX</v>
      </c>
      <c r="AN60" s="333">
        <f ca="1"/>
        <v>5.6090924038145334E-2</v>
      </c>
      <c r="AO60" t="str">
        <f ca="1"/>
        <v>KR</v>
      </c>
      <c r="AP60" s="333">
        <f ca="1"/>
        <v>-5.3273935681202207E-3</v>
      </c>
      <c r="AQ60" s="96" t="str">
        <f ca="1"/>
        <v>SAFDIS</v>
      </c>
      <c r="AR60" s="99">
        <f ca="1"/>
        <v>9.9573647707863186E-2</v>
      </c>
    </row>
    <row r="61" spans="2:44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SAFIAG</v>
      </c>
      <c r="F61" s="599">
        <f ca="1"/>
        <v>0.78391580326449306</v>
      </c>
      <c r="G61" s="165" t="str">
        <f ca="1"/>
        <v>BLDP</v>
      </c>
      <c r="H61" s="600">
        <f ca="1"/>
        <v>2035.5849999999846</v>
      </c>
      <c r="I61" t="str">
        <v>MVEGLE</v>
      </c>
      <c r="J61" s="601">
        <v>-5.9030000000000003E-3</v>
      </c>
      <c r="K61" s="165" t="str">
        <f ca="1"/>
        <v>MVEGLE</v>
      </c>
      <c r="L61" s="601">
        <f ca="1"/>
        <v>-5.9030000000000003E-3</v>
      </c>
      <c r="M61" s="1" t="str">
        <f ca="1"/>
        <v>BLDP</v>
      </c>
      <c r="N61" s="600">
        <f ca="1"/>
        <v>-280.00000000000824</v>
      </c>
      <c r="O61" t="str">
        <f ca="1"/>
        <v>JBEOAN</v>
      </c>
      <c r="P61" s="600">
        <f ca="1"/>
        <v>-2709.6090000000058</v>
      </c>
      <c r="Q61" t="str">
        <f ca="1"/>
        <v>SAFDIS</v>
      </c>
      <c r="R61" s="705">
        <f ca="1"/>
        <v>-1.0578928571428536E-4</v>
      </c>
      <c r="S61" t="str">
        <f ca="1"/>
        <v>LUV</v>
      </c>
      <c r="T61" s="96">
        <f ca="1"/>
        <v>-246</v>
      </c>
      <c r="U61" t="str">
        <f ca="1"/>
        <v>MVEDDD</v>
      </c>
      <c r="V61" s="96">
        <f ca="1"/>
        <v>-450</v>
      </c>
      <c r="W61" t="str">
        <v>PW</v>
      </c>
      <c r="X61">
        <v>13</v>
      </c>
      <c r="Y61" t="str">
        <v>IAG</v>
      </c>
      <c r="Z61">
        <v>14</v>
      </c>
      <c r="AA61" t="str">
        <v>MVESAP</v>
      </c>
      <c r="AB61">
        <v>42</v>
      </c>
      <c r="AC61" t="str">
        <v>OXY</v>
      </c>
      <c r="AD61">
        <v>42</v>
      </c>
      <c r="AE61" t="str">
        <f ca="1"/>
        <v>NVAX</v>
      </c>
      <c r="AF61" s="96">
        <f ca="1"/>
        <v>-17573.625</v>
      </c>
      <c r="AG61" t="str">
        <f ca="1"/>
        <v>GS</v>
      </c>
      <c r="AH61" s="96">
        <f ca="1"/>
        <v>0</v>
      </c>
      <c r="AI61" t="str">
        <f ca="1"/>
        <v>AZN</v>
      </c>
      <c r="AJ61" s="96">
        <f ca="1"/>
        <v>-99.999999999994316</v>
      </c>
      <c r="AK61" s="99" t="str">
        <f ca="1"/>
        <v>SAFDIS</v>
      </c>
      <c r="AL61" s="333">
        <f ca="1"/>
        <v>-1.0578928571428536E-4</v>
      </c>
      <c r="AM61" t="str">
        <f ca="1"/>
        <v>ASML</v>
      </c>
      <c r="AN61" s="333">
        <f ca="1"/>
        <v>5.4099892037133002E-2</v>
      </c>
      <c r="AO61" t="str">
        <f ca="1"/>
        <v>BLDP</v>
      </c>
      <c r="AP61" s="333">
        <f ca="1"/>
        <v>2.7025269416575295E-3</v>
      </c>
      <c r="AQ61" s="96" t="str">
        <f ca="1"/>
        <v>SAFASML</v>
      </c>
      <c r="AR61" s="99">
        <f ca="1"/>
        <v>9.059623849539801E-2</v>
      </c>
    </row>
    <row r="62" spans="2:44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TSM</v>
      </c>
      <c r="F62" s="599">
        <f ca="1"/>
        <v>0.77041188314923847</v>
      </c>
      <c r="G62" s="165" t="str">
        <f ca="1"/>
        <v>DSY</v>
      </c>
      <c r="H62" s="600">
        <f ca="1"/>
        <v>1232.4079999999376</v>
      </c>
      <c r="I62" t="str">
        <v>GLE</v>
      </c>
      <c r="J62" s="601">
        <v>-5.9030000000000003E-3</v>
      </c>
      <c r="K62" s="165" t="str">
        <f ca="1"/>
        <v>GLE</v>
      </c>
      <c r="L62" s="601">
        <f ca="1"/>
        <v>-5.9030000000000003E-3</v>
      </c>
      <c r="M62" s="1" t="str">
        <f ca="1"/>
        <v>PW</v>
      </c>
      <c r="N62" s="600">
        <f ca="1"/>
        <v>-363.40019999999919</v>
      </c>
      <c r="O62" t="str">
        <f ca="1"/>
        <v>DIS</v>
      </c>
      <c r="P62" s="600">
        <f ca="1"/>
        <v>-2721.1799999999976</v>
      </c>
      <c r="Q62" t="str">
        <f ca="1"/>
        <v>NOTE</v>
      </c>
      <c r="R62" s="705">
        <f ca="1"/>
        <v>-1.8303571428571891E-4</v>
      </c>
      <c r="S62" t="str">
        <f ca="1"/>
        <v>BMRA</v>
      </c>
      <c r="T62" s="96">
        <f ca="1"/>
        <v>-250</v>
      </c>
      <c r="U62" t="str">
        <f ca="1"/>
        <v>HPQ</v>
      </c>
      <c r="V62" s="96">
        <f ca="1"/>
        <v>-485</v>
      </c>
      <c r="W62" t="str">
        <v>UN0</v>
      </c>
      <c r="X62">
        <v>13</v>
      </c>
      <c r="Y62" t="str">
        <v>MVEENI</v>
      </c>
      <c r="Z62">
        <v>14</v>
      </c>
      <c r="AA62" t="str">
        <v>F</v>
      </c>
      <c r="AB62">
        <v>42</v>
      </c>
      <c r="AC62" t="str">
        <v>RIGL</v>
      </c>
      <c r="AD62">
        <v>41</v>
      </c>
      <c r="AE62" t="str">
        <f ca="1"/>
        <v>WBA</v>
      </c>
      <c r="AF62" s="96">
        <f ca="1"/>
        <v>-20501.305175000009</v>
      </c>
      <c r="AG62" t="str">
        <f ca="1"/>
        <v>NVS</v>
      </c>
      <c r="AH62" s="96">
        <f ca="1"/>
        <v>0</v>
      </c>
      <c r="AI62" t="str">
        <f ca="1"/>
        <v>C</v>
      </c>
      <c r="AJ62" s="96">
        <f ca="1"/>
        <v>-199.97500000000036</v>
      </c>
      <c r="AK62" s="99" t="str">
        <f ca="1"/>
        <v>NOTE</v>
      </c>
      <c r="AL62" s="333">
        <f ca="1"/>
        <v>-1.8303571428571891E-4</v>
      </c>
      <c r="AM62" t="str">
        <f ca="1"/>
        <v>AET</v>
      </c>
      <c r="AN62" s="333">
        <f ca="1"/>
        <v>4.0159404603759628E-2</v>
      </c>
      <c r="AO62" t="str">
        <f ca="1"/>
        <v>MVEGLE</v>
      </c>
      <c r="AP62" s="333">
        <f ca="1"/>
        <v>2.7756723716381451E-2</v>
      </c>
      <c r="AQ62" s="96" t="str">
        <f ca="1"/>
        <v>SSYS</v>
      </c>
      <c r="AR62" s="99">
        <f ca="1"/>
        <v>8.788142981691377E-2</v>
      </c>
    </row>
    <row r="63" spans="2:44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XOM</v>
      </c>
      <c r="F63" s="599">
        <f ca="1"/>
        <v>0.75013527519452761</v>
      </c>
      <c r="G63" s="165" t="str">
        <f ca="1"/>
        <v>EPIX</v>
      </c>
      <c r="H63" s="600">
        <f ca="1"/>
        <v>-281.2355999999927</v>
      </c>
      <c r="I63" t="str">
        <v>GS</v>
      </c>
      <c r="J63" s="601">
        <v>-6.2909999999999997E-3</v>
      </c>
      <c r="K63" s="165" t="str">
        <f ca="1"/>
        <v>GS</v>
      </c>
      <c r="L63" s="601">
        <f ca="1"/>
        <v>-6.2909999999999997E-3</v>
      </c>
      <c r="M63" s="1" t="str">
        <f ca="1"/>
        <v>PFE</v>
      </c>
      <c r="N63" s="600">
        <f ca="1"/>
        <v>-1696.0000000000036</v>
      </c>
      <c r="O63" t="str">
        <f ca="1"/>
        <v>RRC</v>
      </c>
      <c r="P63" s="600">
        <f ca="1"/>
        <v>-2788.0125000000235</v>
      </c>
      <c r="Q63" t="str">
        <f ca="1"/>
        <v>XOM</v>
      </c>
      <c r="R63" s="705">
        <f ca="1"/>
        <v>-3.457130952380955E-4</v>
      </c>
      <c r="S63" t="str">
        <f ca="1"/>
        <v>HPQ</v>
      </c>
      <c r="T63" s="96">
        <f ca="1"/>
        <v>-285</v>
      </c>
      <c r="U63" t="str">
        <f ca="1"/>
        <v>MVEORA</v>
      </c>
      <c r="V63" s="96">
        <f ca="1"/>
        <v>-525</v>
      </c>
      <c r="W63" t="str">
        <v>MVEUN0</v>
      </c>
      <c r="X63">
        <v>13</v>
      </c>
      <c r="Y63" t="str">
        <v>SAFAMZN</v>
      </c>
      <c r="Z63">
        <v>14</v>
      </c>
      <c r="AA63" t="str">
        <v>JBEOAN</v>
      </c>
      <c r="AB63">
        <v>42</v>
      </c>
      <c r="AC63" t="str">
        <v>LUV</v>
      </c>
      <c r="AD63">
        <v>41</v>
      </c>
      <c r="AE63" t="str">
        <f ca="1"/>
        <v>BLDP</v>
      </c>
      <c r="AF63" s="96">
        <f ca="1"/>
        <v>-24817.165000000008</v>
      </c>
      <c r="AG63" t="str">
        <f ca="1"/>
        <v>ORA</v>
      </c>
      <c r="AH63" s="96">
        <f ca="1"/>
        <v>0</v>
      </c>
      <c r="AI63" t="str">
        <f ca="1"/>
        <v>F</v>
      </c>
      <c r="AJ63" s="96">
        <f ca="1"/>
        <v>-539.99999999999909</v>
      </c>
      <c r="AK63" s="99" t="str">
        <f ca="1"/>
        <v>XOM</v>
      </c>
      <c r="AL63" s="333">
        <f ca="1"/>
        <v>-3.457130952380955E-4</v>
      </c>
      <c r="AM63" t="str">
        <f ca="1"/>
        <v>LUV</v>
      </c>
      <c r="AN63" s="333">
        <f ca="1"/>
        <v>3.1441783343214763E-2</v>
      </c>
      <c r="AO63" t="str">
        <f ca="1"/>
        <v>PW</v>
      </c>
      <c r="AP63" s="333">
        <f ca="1"/>
        <v>3.2781572815533899E-2</v>
      </c>
      <c r="AQ63" s="96" t="str">
        <f ca="1"/>
        <v>XOM</v>
      </c>
      <c r="AR63" s="99">
        <f ca="1"/>
        <v>8.085705533037979E-2</v>
      </c>
    </row>
    <row r="64" spans="2:44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0.73234913528008072</v>
      </c>
      <c r="G64" s="165" t="str">
        <f ca="1"/>
        <v>PROF</v>
      </c>
      <c r="H64" s="600">
        <f ca="1"/>
        <v>-1852.6199999999735</v>
      </c>
      <c r="I64" t="str">
        <v>XPER</v>
      </c>
      <c r="J64" s="601">
        <v>-6.5900000000000004E-3</v>
      </c>
      <c r="K64" s="165" t="str">
        <f ca="1"/>
        <v>XPER</v>
      </c>
      <c r="L64" s="601">
        <f ca="1"/>
        <v>-6.5900000000000004E-3</v>
      </c>
      <c r="M64" s="1" t="str">
        <f ca="1"/>
        <v>MVEDDD</v>
      </c>
      <c r="N64" s="600">
        <f ca="1"/>
        <v>-2250.0000000000009</v>
      </c>
      <c r="O64" t="str">
        <f ca="1"/>
        <v>UN0</v>
      </c>
      <c r="P64" s="600">
        <f ca="1"/>
        <v>-2810.0268262499994</v>
      </c>
      <c r="Q64" t="str">
        <f ca="1"/>
        <v>F</v>
      </c>
      <c r="R64" s="705">
        <f ca="1"/>
        <v>-3.9733690476190437E-4</v>
      </c>
      <c r="S64" t="str">
        <f ca="1"/>
        <v>DIS</v>
      </c>
      <c r="T64" s="96">
        <f ca="1"/>
        <v>-290</v>
      </c>
      <c r="U64" t="str">
        <f ca="1"/>
        <v>XPER</v>
      </c>
      <c r="V64" s="96">
        <f ca="1"/>
        <v>-599.99999999999272</v>
      </c>
      <c r="W64" t="str">
        <v>SAFAMZN</v>
      </c>
      <c r="X64">
        <v>13</v>
      </c>
      <c r="Y64" t="str">
        <v>SAFGM</v>
      </c>
      <c r="Z64">
        <v>14</v>
      </c>
      <c r="AA64" t="str">
        <v>SHECY</v>
      </c>
      <c r="AB64">
        <v>41</v>
      </c>
      <c r="AC64" t="str">
        <v>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RRC</v>
      </c>
      <c r="AH64" s="96">
        <f ca="1"/>
        <v>0</v>
      </c>
      <c r="AI64" t="str">
        <f ca="1"/>
        <v>BLDP</v>
      </c>
      <c r="AJ64" s="96">
        <f ca="1"/>
        <v>-1099.9999999999989</v>
      </c>
      <c r="AK64" s="99" t="str">
        <f ca="1"/>
        <v>F</v>
      </c>
      <c r="AL64" s="333">
        <f ca="1"/>
        <v>-3.9733690476190437E-4</v>
      </c>
      <c r="AM64" t="str">
        <f ca="1"/>
        <v>VONN</v>
      </c>
      <c r="AN64" s="333">
        <f ca="1"/>
        <v>2.102488948683446E-2</v>
      </c>
      <c r="AO64" t="str">
        <f ca="1"/>
        <v>PFE</v>
      </c>
      <c r="AP64" s="333">
        <f ca="1"/>
        <v>4.1888609715242976E-2</v>
      </c>
      <c r="AQ64" s="96" t="str">
        <f ca="1"/>
        <v>LUV</v>
      </c>
      <c r="AR64" s="99">
        <f ca="1"/>
        <v>5.065808272268759E-2</v>
      </c>
    </row>
    <row r="65" spans="2:44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0.73234913528008072</v>
      </c>
      <c r="G65" s="165" t="str">
        <f ca="1"/>
        <v>RIG</v>
      </c>
      <c r="H65" s="600">
        <f ca="1"/>
        <v>-2209.8999999999942</v>
      </c>
      <c r="I65" t="str">
        <v>F</v>
      </c>
      <c r="J65" s="601">
        <v>-6.803E-3</v>
      </c>
      <c r="K65" s="165" t="str">
        <f ca="1"/>
        <v>F</v>
      </c>
      <c r="L65" s="601">
        <f ca="1"/>
        <v>-6.803E-3</v>
      </c>
      <c r="M65" s="1" t="str">
        <f ca="1"/>
        <v>MVEUN0</v>
      </c>
      <c r="N65" s="600">
        <f ca="1"/>
        <v>-3186.7550000000006</v>
      </c>
      <c r="O65" t="str">
        <f ca="1"/>
        <v>AMZN</v>
      </c>
      <c r="P65" s="600">
        <f ca="1"/>
        <v>-3037.3875000000021</v>
      </c>
      <c r="Q65" t="str">
        <f ca="1"/>
        <v>NEM</v>
      </c>
      <c r="R65" s="705">
        <f ca="1"/>
        <v>-4.1450833333333322E-4</v>
      </c>
      <c r="S65" t="str">
        <f ca="1"/>
        <v>SSYS</v>
      </c>
      <c r="T65" s="96">
        <f ca="1"/>
        <v>-320</v>
      </c>
      <c r="U65" t="str">
        <f ca="1"/>
        <v>DIS</v>
      </c>
      <c r="V65" s="96">
        <f ca="1"/>
        <v>-636</v>
      </c>
      <c r="W65" t="str">
        <v>DXC</v>
      </c>
      <c r="X65">
        <v>14</v>
      </c>
      <c r="Y65" t="str">
        <v>SAFIAG</v>
      </c>
      <c r="Z65">
        <v>14</v>
      </c>
      <c r="AA65" t="str">
        <v>RIG</v>
      </c>
      <c r="AB65">
        <v>41</v>
      </c>
      <c r="AC65" t="str">
        <v>SAFGM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XYZ</v>
      </c>
      <c r="AH65" s="96">
        <f ca="1"/>
        <v>0</v>
      </c>
      <c r="AI65" t="str">
        <f ca="1"/>
        <v>AAPL</v>
      </c>
      <c r="AJ65" s="96">
        <f ca="1"/>
        <v>-1115.9999999999995</v>
      </c>
      <c r="AK65" s="99" t="str">
        <f ca="1"/>
        <v>NEM</v>
      </c>
      <c r="AL65" s="333">
        <f ca="1"/>
        <v>-4.1450833333333322E-4</v>
      </c>
      <c r="AM65" t="str">
        <f ca="1"/>
        <v>SAFASML</v>
      </c>
      <c r="AN65" s="333">
        <f ca="1"/>
        <v>1.823004910184587E-2</v>
      </c>
      <c r="AO65" t="str">
        <f ca="1"/>
        <v>DVA</v>
      </c>
      <c r="AP65" s="333">
        <f ca="1"/>
        <v>5.0729393643399297E-2</v>
      </c>
      <c r="AQ65" s="96" t="str">
        <f ca="1"/>
        <v>BMRA</v>
      </c>
      <c r="AR65" s="99">
        <f ca="1"/>
        <v>-5.135203522460776E-2</v>
      </c>
    </row>
    <row r="66" spans="2:44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LAZR</v>
      </c>
      <c r="F66" s="599">
        <f ca="1"/>
        <v>0.73131747771900657</v>
      </c>
      <c r="G66" s="165" t="str">
        <f ca="1"/>
        <v>PW</v>
      </c>
      <c r="H66" s="600">
        <f ca="1"/>
        <v>-4210.1429999999964</v>
      </c>
      <c r="I66" t="str">
        <v>OXY</v>
      </c>
      <c r="J66" s="601">
        <v>-7.8230000000000001E-3</v>
      </c>
      <c r="K66" s="165" t="str">
        <f ca="1"/>
        <v>OXY</v>
      </c>
      <c r="L66" s="601">
        <f ca="1"/>
        <v>-7.8230000000000001E-3</v>
      </c>
      <c r="M66" s="1" t="str">
        <f ca="1"/>
        <v>MVEGLE</v>
      </c>
      <c r="N66" s="600">
        <f ca="1"/>
        <v>-3465.0000000000036</v>
      </c>
      <c r="O66" t="str">
        <f ca="1"/>
        <v>ADEA</v>
      </c>
      <c r="P66" s="600">
        <f ca="1"/>
        <v>-3042.1755000000039</v>
      </c>
      <c r="Q66" t="str">
        <f ca="1"/>
        <v>NFLX</v>
      </c>
      <c r="R66" s="705">
        <f ca="1"/>
        <v>-5.021946428571439E-4</v>
      </c>
      <c r="S66" t="str">
        <f ca="1"/>
        <v>CSCO</v>
      </c>
      <c r="T66" s="96">
        <f ca="1"/>
        <v>-350</v>
      </c>
      <c r="U66" t="str">
        <f ca="1"/>
        <v>SSYS</v>
      </c>
      <c r="V66" s="96">
        <f ca="1"/>
        <v>-800</v>
      </c>
      <c r="W66" t="str">
        <v>GNRC</v>
      </c>
      <c r="X66">
        <v>14</v>
      </c>
      <c r="Y66" t="str">
        <v>ENI</v>
      </c>
      <c r="Z66">
        <v>14</v>
      </c>
      <c r="AA66" t="str">
        <v>BLDP</v>
      </c>
      <c r="AB66">
        <v>38</v>
      </c>
      <c r="AC66" t="str">
        <v>EZJ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MVEUN0</v>
      </c>
      <c r="AH66" s="96">
        <f ca="1"/>
        <v>-45.824999999999889</v>
      </c>
      <c r="AI66" t="str">
        <f ca="1"/>
        <v>SAFAAPL</v>
      </c>
      <c r="AJ66" s="96">
        <f ca="1"/>
        <v>-1157.9999999999955</v>
      </c>
      <c r="AK66" s="99" t="str">
        <f ca="1"/>
        <v>NFLX</v>
      </c>
      <c r="AL66" s="333">
        <f ca="1"/>
        <v>-5.021946428571439E-4</v>
      </c>
      <c r="AM66" t="str">
        <f ca="1"/>
        <v>BLDP</v>
      </c>
      <c r="AN66" s="333">
        <f ca="1"/>
        <v>-5.1626617375232576E-3</v>
      </c>
      <c r="AO66" t="str">
        <f ca="1"/>
        <v>EZJ</v>
      </c>
      <c r="AP66" s="333">
        <f ca="1"/>
        <v>6.8350202429149798E-2</v>
      </c>
      <c r="AQ66" s="96" t="str">
        <f ca="1"/>
        <v>PFE</v>
      </c>
      <c r="AR66" s="99">
        <f ca="1"/>
        <v>-5.1866853329346471E-2</v>
      </c>
    </row>
    <row r="67" spans="2:44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C</v>
      </c>
      <c r="F67" s="599">
        <f ca="1"/>
        <v>0.69151353119457981</v>
      </c>
      <c r="G67" s="165" t="str">
        <f ca="1"/>
        <v>PFE</v>
      </c>
      <c r="H67" s="600">
        <f ca="1"/>
        <v>-9745.0780000000013</v>
      </c>
      <c r="I67" t="str">
        <v>AMZN</v>
      </c>
      <c r="J67" s="601">
        <v>-7.8279999999999999E-3</v>
      </c>
      <c r="K67" s="165" t="str">
        <f ca="1"/>
        <v>AMZN</v>
      </c>
      <c r="L67" s="601">
        <f ca="1"/>
        <v>-7.8279999999999999E-3</v>
      </c>
      <c r="M67" s="1" t="str">
        <f ca="1"/>
        <v>PROF</v>
      </c>
      <c r="N67" s="600">
        <f ca="1"/>
        <v>-4369.7999999999993</v>
      </c>
      <c r="O67" t="str">
        <f ca="1"/>
        <v>VTRS</v>
      </c>
      <c r="P67" s="600">
        <f ca="1"/>
        <v>-3092.2499999999959</v>
      </c>
      <c r="Q67" t="str">
        <f ca="1"/>
        <v>MA</v>
      </c>
      <c r="R67" s="705">
        <f ca="1"/>
        <v>-5.1617619047619051E-4</v>
      </c>
      <c r="S67" t="str">
        <f ca="1"/>
        <v>MVEDDD</v>
      </c>
      <c r="T67" s="96">
        <f ca="1"/>
        <v>-450</v>
      </c>
      <c r="U67" t="str">
        <f ca="1"/>
        <v>PFE</v>
      </c>
      <c r="V67" s="96">
        <f ca="1"/>
        <v>-1104</v>
      </c>
      <c r="W67" t="str">
        <v>VLVLY</v>
      </c>
      <c r="X67">
        <v>15</v>
      </c>
      <c r="Y67" t="str">
        <v>F</v>
      </c>
      <c r="Z67">
        <v>14</v>
      </c>
      <c r="AA67" t="str">
        <v>OXY</v>
      </c>
      <c r="AB67">
        <v>38</v>
      </c>
      <c r="AC67" t="str">
        <v>F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UN0</v>
      </c>
      <c r="AH67" s="96">
        <f ca="1"/>
        <v>-346.74499999999887</v>
      </c>
      <c r="AI67" t="str">
        <f ca="1"/>
        <v>SAFASML</v>
      </c>
      <c r="AJ67" s="96">
        <f ca="1"/>
        <v>-1598.3999999999951</v>
      </c>
      <c r="AK67" s="99" t="str">
        <f ca="1"/>
        <v>MA</v>
      </c>
      <c r="AL67" s="333">
        <f ca="1"/>
        <v>-5.1617619047619051E-4</v>
      </c>
      <c r="AM67" t="str">
        <f ca="1"/>
        <v>MVEGLE</v>
      </c>
      <c r="AN67" s="333">
        <f ca="1"/>
        <v>-2.9294719667754408E-2</v>
      </c>
      <c r="AO67" t="str">
        <f ca="1"/>
        <v>RIG</v>
      </c>
      <c r="AP67" s="333">
        <f ca="1"/>
        <v>7.2105575967149296E-2</v>
      </c>
      <c r="AQ67" s="96" t="str">
        <f ca="1"/>
        <v>RRC</v>
      </c>
      <c r="AR67" s="99">
        <f ca="1"/>
        <v>-5.6920307237741635E-2</v>
      </c>
    </row>
    <row r="68" spans="2:44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MVEGLE</v>
      </c>
      <c r="F68" s="599">
        <f ca="1"/>
        <v>0.67086524117354551</v>
      </c>
      <c r="G68" s="165" t="str">
        <f ca="1"/>
        <v>F</v>
      </c>
      <c r="H68" s="600">
        <f ca="1"/>
        <v>-13640</v>
      </c>
      <c r="I68" t="str">
        <v>SAFAMZN</v>
      </c>
      <c r="J68" s="601">
        <v>-7.8279999999999999E-3</v>
      </c>
      <c r="K68" s="165" t="str">
        <f ca="1"/>
        <v>SAFAMZN</v>
      </c>
      <c r="L68" s="601">
        <f ca="1"/>
        <v>-7.8279999999999999E-3</v>
      </c>
      <c r="M68" s="1" t="str">
        <f ca="1"/>
        <v>EZJ</v>
      </c>
      <c r="N68" s="600">
        <f ca="1"/>
        <v>-6650</v>
      </c>
      <c r="O68" t="str">
        <f ca="1"/>
        <v>POET</v>
      </c>
      <c r="P68" s="600">
        <f ca="1"/>
        <v>-3142.1249999999995</v>
      </c>
      <c r="Q68" t="str">
        <f ca="1"/>
        <v>LUV</v>
      </c>
      <c r="R68" s="705">
        <f ca="1"/>
        <v>-7.340595238095242E-4</v>
      </c>
      <c r="S68" t="str">
        <f ca="1"/>
        <v>VTRS</v>
      </c>
      <c r="T68" s="96">
        <f ca="1"/>
        <v>-649.99999999999272</v>
      </c>
      <c r="U68" t="str">
        <f ca="1"/>
        <v>AZN</v>
      </c>
      <c r="V68" s="96">
        <f ca="1"/>
        <v>-1160</v>
      </c>
      <c r="W68" t="str">
        <v>AZN</v>
      </c>
      <c r="X68">
        <v>16</v>
      </c>
      <c r="Y68" t="str">
        <v>GS</v>
      </c>
      <c r="Z68">
        <v>14</v>
      </c>
      <c r="AA68" t="str">
        <v>AET</v>
      </c>
      <c r="AB68">
        <v>36</v>
      </c>
      <c r="AC68" t="str">
        <v>MA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-600.00000000000057</v>
      </c>
      <c r="AI68" t="str">
        <f ca="1"/>
        <v>MSFT</v>
      </c>
      <c r="AJ68" s="96">
        <f ca="1"/>
        <v>-2039.999999999995</v>
      </c>
      <c r="AK68" s="99" t="str">
        <f ca="1"/>
        <v>LUV</v>
      </c>
      <c r="AL68" s="333">
        <f ca="1"/>
        <v>-7.340595238095242E-4</v>
      </c>
      <c r="AM68" t="str">
        <f ca="1"/>
        <v>PW</v>
      </c>
      <c r="AN68" s="333">
        <f ca="1"/>
        <v>-3.3994006855336746E-2</v>
      </c>
      <c r="AO68" t="str">
        <f ca="1"/>
        <v>MVEDDD</v>
      </c>
      <c r="AP68" s="333">
        <f ca="1"/>
        <v>9.8623595505618014E-2</v>
      </c>
      <c r="AQ68" s="96" t="str">
        <f ca="1"/>
        <v>OXY</v>
      </c>
      <c r="AR68" s="99">
        <f ca="1"/>
        <v>-6.7266164929824873E-2</v>
      </c>
    </row>
    <row r="69" spans="2:44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GLE</v>
      </c>
      <c r="F69" s="599">
        <f ca="1"/>
        <v>0.67086524117354551</v>
      </c>
      <c r="G69" s="165" t="str">
        <f ca="1"/>
        <v>LNSR</v>
      </c>
      <c r="H69" s="600">
        <f ca="1"/>
        <v>-16028.984799999995</v>
      </c>
      <c r="I69" t="str">
        <v>VLVLY</v>
      </c>
      <c r="J69" s="601">
        <v>-8.0870000000000004E-3</v>
      </c>
      <c r="K69" s="165" t="str">
        <f ca="1"/>
        <v>VLVLY</v>
      </c>
      <c r="L69" s="601">
        <f ca="1"/>
        <v>-8.0870000000000004E-3</v>
      </c>
      <c r="M69" s="1" t="str">
        <f ca="1"/>
        <v>DVA</v>
      </c>
      <c r="N69" s="600">
        <f ca="1"/>
        <v>-7084.3000000000129</v>
      </c>
      <c r="O69" t="str">
        <f ca="1"/>
        <v>GNRC</v>
      </c>
      <c r="P69" s="600">
        <f ca="1"/>
        <v>-3315.6899999999955</v>
      </c>
      <c r="Q69" t="str">
        <f ca="1"/>
        <v>GM</v>
      </c>
      <c r="R69" s="705">
        <f ca="1"/>
        <v>-8.2856547619047601E-4</v>
      </c>
      <c r="S69" t="str">
        <f ca="1"/>
        <v>MVEORA</v>
      </c>
      <c r="T69" s="96">
        <f ca="1"/>
        <v>-945</v>
      </c>
      <c r="U69" t="str">
        <f ca="1"/>
        <v>SAFDIS</v>
      </c>
      <c r="V69" s="96">
        <f ca="1"/>
        <v>-1353.3999999999942</v>
      </c>
      <c r="W69" t="str">
        <v>RIGL</v>
      </c>
      <c r="X69">
        <v>16</v>
      </c>
      <c r="Y69" t="str">
        <v>NEM</v>
      </c>
      <c r="Z69">
        <v>15</v>
      </c>
      <c r="AA69" t="str">
        <v>DDD</v>
      </c>
      <c r="AB69">
        <v>36</v>
      </c>
      <c r="AC69" t="str">
        <v>XPER</v>
      </c>
      <c r="AD69">
        <v>38</v>
      </c>
      <c r="AE69" t="str">
        <f ca="1"/>
        <v>BMRA</v>
      </c>
      <c r="AF69" s="96">
        <f ca="1"/>
        <v>-55188.130000000005</v>
      </c>
      <c r="AG69" t="str">
        <f ca="1"/>
        <v>PW</v>
      </c>
      <c r="AH69" s="96">
        <f ca="1"/>
        <v>-993.99299999999994</v>
      </c>
      <c r="AI69" t="str">
        <f ca="1"/>
        <v>HPE</v>
      </c>
      <c r="AJ69" s="96">
        <f ca="1"/>
        <v>-2242.5000000000014</v>
      </c>
      <c r="AK69" s="99" t="str">
        <f ca="1"/>
        <v>GM</v>
      </c>
      <c r="AL69" s="333">
        <f ca="1"/>
        <v>-8.2856547619047601E-4</v>
      </c>
      <c r="AM69" t="str">
        <f ca="1"/>
        <v>PFE</v>
      </c>
      <c r="AN69" s="333">
        <f ca="1"/>
        <v>-4.2395749799518934E-2</v>
      </c>
      <c r="AO69" t="str">
        <f ca="1"/>
        <v>POET</v>
      </c>
      <c r="AP69" s="333">
        <f ca="1"/>
        <v>0.10623221798134003</v>
      </c>
      <c r="AQ69" s="96" t="str">
        <f ca="1"/>
        <v>ALDNE</v>
      </c>
      <c r="AR69" s="99">
        <f ca="1"/>
        <v>-8.6988039144617682E-2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GS</v>
      </c>
      <c r="F70" s="599">
        <f ca="1"/>
        <v>0.65387219449739531</v>
      </c>
      <c r="G70" s="165" t="str">
        <f ca="1"/>
        <v>LUV</v>
      </c>
      <c r="H70" s="600">
        <f ca="1"/>
        <v>-19802.450000000004</v>
      </c>
      <c r="I70" t="str">
        <v>LOCK</v>
      </c>
      <c r="J70" s="601">
        <v>-9.3289999999999988E-3</v>
      </c>
      <c r="K70" s="165" t="str">
        <f ca="1"/>
        <v>LOCK</v>
      </c>
      <c r="L70" s="601">
        <f ca="1"/>
        <v>-9.3289999999999988E-3</v>
      </c>
      <c r="M70" s="1" t="str">
        <f ca="1"/>
        <v>RIG</v>
      </c>
      <c r="N70" s="600">
        <f ca="1"/>
        <v>-8629.9999999999964</v>
      </c>
      <c r="O70" t="str">
        <f ca="1"/>
        <v>KR</v>
      </c>
      <c r="P70" s="600">
        <f ca="1"/>
        <v>-3521.174999999987</v>
      </c>
      <c r="Q70" t="str">
        <f ca="1"/>
        <v>SAFGM</v>
      </c>
      <c r="R70" s="705">
        <f ca="1"/>
        <v>-8.2856547619047601E-4</v>
      </c>
      <c r="S70" t="str">
        <f ca="1"/>
        <v>AVGO</v>
      </c>
      <c r="T70" s="96">
        <f ca="1"/>
        <v>-1064.0000000000146</v>
      </c>
      <c r="U70" t="str">
        <f ca="1"/>
        <v>ADEA</v>
      </c>
      <c r="V70" s="96">
        <f ca="1"/>
        <v>-1380</v>
      </c>
      <c r="W70" t="str">
        <v>SSYS</v>
      </c>
      <c r="X70">
        <v>16</v>
      </c>
      <c r="Y70" t="str">
        <v>VLVLY</v>
      </c>
      <c r="Z70">
        <v>15</v>
      </c>
      <c r="AA70" t="str">
        <v>DIS</v>
      </c>
      <c r="AB70">
        <v>36</v>
      </c>
      <c r="AC70" t="str">
        <v>NVS</v>
      </c>
      <c r="AD70">
        <v>37</v>
      </c>
      <c r="AE70" t="str">
        <f ca="1"/>
        <v>THC</v>
      </c>
      <c r="AF70" s="96">
        <f ca="1"/>
        <v>-58631.802000000011</v>
      </c>
      <c r="AG70" t="str">
        <f ca="1"/>
        <v>EZJ</v>
      </c>
      <c r="AH70" s="96">
        <f ca="1"/>
        <v>-1159.9999999999966</v>
      </c>
      <c r="AI70" t="str">
        <f ca="1"/>
        <v>LUMN</v>
      </c>
      <c r="AJ70" s="96">
        <f ca="1"/>
        <v>-2309.9999999999986</v>
      </c>
      <c r="AK70" s="99" t="str">
        <f ca="1"/>
        <v>SAFGM</v>
      </c>
      <c r="AL70" s="333">
        <f ca="1"/>
        <v>-8.2856547619047601E-4</v>
      </c>
      <c r="AM70" t="str">
        <f ca="1"/>
        <v>DVA</v>
      </c>
      <c r="AN70" s="333">
        <f ca="1"/>
        <v>-5.0412873472526792E-2</v>
      </c>
      <c r="AO70" t="str">
        <f ca="1"/>
        <v>NVAX</v>
      </c>
      <c r="AP70" s="333">
        <f ca="1"/>
        <v>0.11876224652540424</v>
      </c>
      <c r="AQ70" s="96" t="str">
        <f ca="1"/>
        <v>MVEDDD</v>
      </c>
      <c r="AR70" s="99">
        <f ca="1"/>
        <v>-9.082753980713168E-2</v>
      </c>
    </row>
    <row r="71" spans="2:44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EZJ</v>
      </c>
      <c r="F71" s="599">
        <f ca="1"/>
        <v>0.65377659574468083</v>
      </c>
      <c r="G71" s="165" t="str">
        <f ca="1"/>
        <v>WBA</v>
      </c>
      <c r="H71" s="600">
        <f ca="1"/>
        <v>-21661.755000000005</v>
      </c>
      <c r="I71" t="str">
        <v>DIS</v>
      </c>
      <c r="J71" s="601">
        <v>-9.4809999999999998E-3</v>
      </c>
      <c r="K71" s="165" t="str">
        <f ca="1"/>
        <v>DIS</v>
      </c>
      <c r="L71" s="601">
        <f ca="1"/>
        <v>-9.4809999999999998E-3</v>
      </c>
      <c r="M71" s="1" t="str">
        <f ca="1"/>
        <v>NVAX</v>
      </c>
      <c r="N71" s="600">
        <f ca="1"/>
        <v>-10644.399999999985</v>
      </c>
      <c r="O71" t="str">
        <f ca="1"/>
        <v>NEE</v>
      </c>
      <c r="P71" s="600">
        <f ca="1"/>
        <v>-3750.6000000000054</v>
      </c>
      <c r="Q71" t="str">
        <f ca="1"/>
        <v>WBA</v>
      </c>
      <c r="R71" s="705">
        <f ca="1"/>
        <v>-1.054142857142857E-3</v>
      </c>
      <c r="S71" t="str">
        <f ca="1"/>
        <v>MVEGLE</v>
      </c>
      <c r="T71" s="96">
        <f ca="1"/>
        <v>-1080</v>
      </c>
      <c r="U71" t="str">
        <f ca="1"/>
        <v>AVGO</v>
      </c>
      <c r="V71" s="96">
        <f ca="1"/>
        <v>-1428.0000000000291</v>
      </c>
      <c r="W71" t="str">
        <v>EZJ</v>
      </c>
      <c r="X71">
        <v>16</v>
      </c>
      <c r="Y71" t="str">
        <v>VONN</v>
      </c>
      <c r="Z71">
        <v>15</v>
      </c>
      <c r="AA71" t="str">
        <v>DXC</v>
      </c>
      <c r="AB71">
        <v>36</v>
      </c>
      <c r="AC71" t="str">
        <v>ALDNE</v>
      </c>
      <c r="AD71">
        <v>36</v>
      </c>
      <c r="AE71" t="str">
        <f ca="1"/>
        <v>MSFT</v>
      </c>
      <c r="AF71" s="96">
        <f ca="1"/>
        <v>-63874.939999999944</v>
      </c>
      <c r="AG71" t="str">
        <f ca="1"/>
        <v>MVEORA</v>
      </c>
      <c r="AH71" s="96">
        <f ca="1"/>
        <v>-1349.999999999998</v>
      </c>
      <c r="AI71" t="str">
        <f ca="1"/>
        <v>WBA</v>
      </c>
      <c r="AJ71" s="96">
        <f ca="1"/>
        <v>-2915.6000000000049</v>
      </c>
      <c r="AK71" s="99" t="str">
        <f ca="1"/>
        <v>WBA</v>
      </c>
      <c r="AL71" s="333">
        <f ca="1"/>
        <v>-1.054142857142857E-3</v>
      </c>
      <c r="AM71" t="str">
        <f ca="1"/>
        <v>EZJ</v>
      </c>
      <c r="AN71" s="333">
        <f ca="1"/>
        <v>-6.5997164461247634E-2</v>
      </c>
      <c r="AO71" t="str">
        <f ca="1"/>
        <v>SAP</v>
      </c>
      <c r="AP71" s="333">
        <f ca="1"/>
        <v>0.1253818288818469</v>
      </c>
      <c r="AQ71" s="96" t="str">
        <f ca="1"/>
        <v>NFLX</v>
      </c>
      <c r="AR71" s="99">
        <f ca="1"/>
        <v>-0.10927066630587727</v>
      </c>
    </row>
    <row r="72" spans="2:44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DVA</v>
      </c>
      <c r="F72" s="599">
        <f ca="1"/>
        <v>0.65264001127734961</v>
      </c>
      <c r="G72" s="165" t="str">
        <f ca="1"/>
        <v>MVEEPIX</v>
      </c>
      <c r="H72" s="600">
        <f ca="1"/>
        <v>-28625.200000000001</v>
      </c>
      <c r="I72" t="str">
        <v>SAFDIS</v>
      </c>
      <c r="J72" s="601">
        <v>-9.4809999999999998E-3</v>
      </c>
      <c r="K72" s="165" t="str">
        <f ca="1"/>
        <v>SAFDIS</v>
      </c>
      <c r="L72" s="601">
        <f ca="1"/>
        <v>-9.4809999999999998E-3</v>
      </c>
      <c r="M72" s="1" t="str">
        <f ca="1"/>
        <v>DXC</v>
      </c>
      <c r="N72" s="600">
        <f ca="1"/>
        <v>-10875</v>
      </c>
      <c r="O72" t="str">
        <f ca="1"/>
        <v>MVEUN0</v>
      </c>
      <c r="P72" s="600">
        <f ca="1"/>
        <v>-4712.0304000000006</v>
      </c>
      <c r="Q72" t="str">
        <f ca="1"/>
        <v>SHECY</v>
      </c>
      <c r="R72" s="705">
        <f ca="1"/>
        <v>-1.2330077380952385E-3</v>
      </c>
      <c r="S72" t="str">
        <f ca="1"/>
        <v>MA</v>
      </c>
      <c r="T72" s="96">
        <f ca="1"/>
        <v>-1112.0000000000146</v>
      </c>
      <c r="U72" t="str">
        <f ca="1"/>
        <v>MA</v>
      </c>
      <c r="V72" s="96">
        <f ca="1"/>
        <v>-1634.0000000000146</v>
      </c>
      <c r="W72" t="str">
        <v>ALDNE</v>
      </c>
      <c r="X72">
        <v>18</v>
      </c>
      <c r="Y72" t="str">
        <v>XOM</v>
      </c>
      <c r="Z72">
        <v>15</v>
      </c>
      <c r="AA72" t="str">
        <v>MVEDDD</v>
      </c>
      <c r="AB72">
        <v>36</v>
      </c>
      <c r="AC72" t="str">
        <v>MVEALDNE</v>
      </c>
      <c r="AD72">
        <v>36</v>
      </c>
      <c r="AE72" t="str">
        <f ca="1"/>
        <v>LAZR</v>
      </c>
      <c r="AF72" s="96">
        <f ca="1"/>
        <v>-83739.551899999991</v>
      </c>
      <c r="AG72" t="str">
        <f ca="1"/>
        <v>MVEALDNE</v>
      </c>
      <c r="AH72" s="96">
        <f ca="1"/>
        <v>-1365.7300000000005</v>
      </c>
      <c r="AI72" t="str">
        <f ca="1"/>
        <v>MA</v>
      </c>
      <c r="AJ72" s="96">
        <f ca="1"/>
        <v>-3421.0000000000036</v>
      </c>
      <c r="AK72" s="99" t="str">
        <f ca="1"/>
        <v>SHECY</v>
      </c>
      <c r="AL72" s="333">
        <f ca="1"/>
        <v>-1.2330077380952385E-3</v>
      </c>
      <c r="AM72" t="str">
        <f ca="1"/>
        <v>MVEDDD</v>
      </c>
      <c r="AN72" s="333">
        <f ca="1"/>
        <v>-9.1607142857142901E-2</v>
      </c>
      <c r="AO72" t="str">
        <f ca="1"/>
        <v>DXC</v>
      </c>
      <c r="AP72" s="333">
        <f ca="1"/>
        <v>0.12668745545260157</v>
      </c>
      <c r="AQ72" s="96" t="str">
        <f ca="1"/>
        <v>UN0</v>
      </c>
      <c r="AR72" s="99">
        <f ca="1"/>
        <v>-0.17101680994948254</v>
      </c>
    </row>
    <row r="73" spans="2:44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XYZ</v>
      </c>
      <c r="F73" s="599">
        <f ca="1"/>
        <v>0.63299572247995461</v>
      </c>
      <c r="G73" s="165" t="str">
        <f ca="1"/>
        <v>UNIT</v>
      </c>
      <c r="H73" s="600">
        <f ca="1"/>
        <v>-31659.68799999998</v>
      </c>
      <c r="I73" t="str">
        <v>DDD</v>
      </c>
      <c r="J73" s="601">
        <v>-1.1110999999999999E-2</v>
      </c>
      <c r="K73" s="165" t="str">
        <f ca="1"/>
        <v>DDD</v>
      </c>
      <c r="L73" s="601">
        <f ca="1"/>
        <v>-1.1110999999999999E-2</v>
      </c>
      <c r="M73" s="1" t="str">
        <f ca="1"/>
        <v>MVESAP</v>
      </c>
      <c r="N73" s="600">
        <f ca="1"/>
        <v>-13781.98</v>
      </c>
      <c r="O73" t="str">
        <f ca="1"/>
        <v>DSY</v>
      </c>
      <c r="P73" s="600">
        <f ca="1"/>
        <v>-5551.0874999999996</v>
      </c>
      <c r="Q73" t="str">
        <f ca="1"/>
        <v>SAP</v>
      </c>
      <c r="R73" s="705">
        <f ca="1"/>
        <v>-1.2986589285714284E-3</v>
      </c>
      <c r="S73" t="str">
        <f ca="1"/>
        <v>SHECY</v>
      </c>
      <c r="T73" s="96">
        <f ca="1"/>
        <v>-1150</v>
      </c>
      <c r="U73" t="str">
        <f ca="1"/>
        <v>DXC</v>
      </c>
      <c r="V73" s="96">
        <f ca="1"/>
        <v>-3000</v>
      </c>
      <c r="W73" t="str">
        <v>IAG</v>
      </c>
      <c r="X73">
        <v>18</v>
      </c>
      <c r="Y73" t="str">
        <v>MVEGLE</v>
      </c>
      <c r="Z73">
        <v>15</v>
      </c>
      <c r="AA73" t="str">
        <v>MVEORA</v>
      </c>
      <c r="AB73">
        <v>36</v>
      </c>
      <c r="AC73" t="str">
        <v>DXC</v>
      </c>
      <c r="AD73">
        <v>35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-1580.0000000000055</v>
      </c>
      <c r="AI73" t="str">
        <f ca="1"/>
        <v>HPQ</v>
      </c>
      <c r="AJ73" s="96">
        <f ca="1"/>
        <v>-3500</v>
      </c>
      <c r="AK73" s="99" t="str">
        <f ca="1"/>
        <v>SAP</v>
      </c>
      <c r="AL73" s="333">
        <f ca="1"/>
        <v>-1.2986589285714284E-3</v>
      </c>
      <c r="AM73" t="str">
        <f ca="1"/>
        <v>POET</v>
      </c>
      <c r="AN73" s="333">
        <f ca="1"/>
        <v>-9.7823789800083258E-2</v>
      </c>
      <c r="AO73" t="str">
        <f ca="1"/>
        <v>UN0</v>
      </c>
      <c r="AP73" s="333">
        <f ca="1"/>
        <v>0.145068275862069</v>
      </c>
      <c r="AQ73" s="96" t="str">
        <f ca="1"/>
        <v>SHECY</v>
      </c>
      <c r="AR73" s="99">
        <f ca="1"/>
        <v>-0.17401990905739212</v>
      </c>
    </row>
    <row r="74" spans="2:44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OXY</v>
      </c>
      <c r="F74" s="599">
        <f ca="1"/>
        <v>0.61463911996041853</v>
      </c>
      <c r="G74" s="165" t="str">
        <f ca="1"/>
        <v>POET</v>
      </c>
      <c r="H74" s="600">
        <f ca="1"/>
        <v>-34457.510000000009</v>
      </c>
      <c r="I74" t="str">
        <v>MVEDDD</v>
      </c>
      <c r="J74" s="601">
        <v>-1.1110999999999999E-2</v>
      </c>
      <c r="K74" s="165" t="str">
        <f ca="1"/>
        <v>MVEDDD</v>
      </c>
      <c r="L74" s="601">
        <f ca="1"/>
        <v>-1.1110999999999999E-2</v>
      </c>
      <c r="M74" s="1" t="str">
        <f ca="1"/>
        <v>UN0</v>
      </c>
      <c r="N74" s="600">
        <f ca="1"/>
        <v>-16048.050000000003</v>
      </c>
      <c r="O74" t="str">
        <f ca="1"/>
        <v>PROF</v>
      </c>
      <c r="P74" s="600">
        <f ca="1"/>
        <v>-5765.5499999999993</v>
      </c>
      <c r="Q74" t="str">
        <f ca="1"/>
        <v>MVESAP</v>
      </c>
      <c r="R74" s="705">
        <f ca="1"/>
        <v>-1.2986589285714284E-3</v>
      </c>
      <c r="S74" t="str">
        <f ca="1"/>
        <v>AZN</v>
      </c>
      <c r="T74" s="96">
        <f ca="1"/>
        <v>-1260</v>
      </c>
      <c r="U74" t="str">
        <f ca="1"/>
        <v>PAAS</v>
      </c>
      <c r="V74" s="96">
        <f ca="1"/>
        <v>-3480</v>
      </c>
      <c r="W74" t="str">
        <v>PROF</v>
      </c>
      <c r="X74">
        <v>18</v>
      </c>
      <c r="Y74" t="str">
        <v>GLE</v>
      </c>
      <c r="Z74">
        <v>15</v>
      </c>
      <c r="AA74" t="str">
        <v>SAFDDD</v>
      </c>
      <c r="AB74">
        <v>36</v>
      </c>
      <c r="AC74" t="str">
        <v>POET</v>
      </c>
      <c r="AD74">
        <v>35</v>
      </c>
      <c r="AE74" t="str">
        <f ca="1"/>
        <v>UNIT</v>
      </c>
      <c r="AF74" s="96">
        <f ca="1"/>
        <v>-96391.867999999988</v>
      </c>
      <c r="AG74" t="str">
        <f ca="1"/>
        <v>PFE</v>
      </c>
      <c r="AH74" s="96">
        <f ca="1"/>
        <v>-1696.0000000000036</v>
      </c>
      <c r="AI74" t="str">
        <f ca="1"/>
        <v>MVEENI</v>
      </c>
      <c r="AJ74" s="96">
        <f ca="1"/>
        <v>-3536.0000000000014</v>
      </c>
      <c r="AK74" s="99" t="str">
        <f ca="1"/>
        <v>MVESAP</v>
      </c>
      <c r="AL74" s="333">
        <f ca="1"/>
        <v>-1.2986589285714284E-3</v>
      </c>
      <c r="AM74" t="str">
        <f ca="1"/>
        <v>NVAX</v>
      </c>
      <c r="AN74" s="333">
        <f ca="1"/>
        <v>-0.10787760961712732</v>
      </c>
      <c r="AO74" t="str">
        <f ca="1"/>
        <v>SHECY</v>
      </c>
      <c r="AP74" s="333">
        <f ca="1"/>
        <v>0.14705000292585885</v>
      </c>
      <c r="AQ74" s="96" t="str">
        <f ca="1"/>
        <v>MVEUN0</v>
      </c>
      <c r="AR74" s="99">
        <f ca="1"/>
        <v>-0.20183223590037172</v>
      </c>
    </row>
    <row r="75" spans="2:44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0.61019444274059986</v>
      </c>
      <c r="G75" s="165" t="str">
        <f ca="1"/>
        <v>ASML</v>
      </c>
      <c r="H75" s="600">
        <f ca="1"/>
        <v>-42402.490000000689</v>
      </c>
      <c r="I75" t="str">
        <v>SAFDDD</v>
      </c>
      <c r="J75" s="601">
        <v>-1.1110999999999999E-2</v>
      </c>
      <c r="K75" s="165" t="str">
        <f ca="1"/>
        <v>SAFDDD</v>
      </c>
      <c r="L75" s="601">
        <f ca="1"/>
        <v>-1.1110999999999999E-2</v>
      </c>
      <c r="M75" s="1" t="str">
        <f ca="1"/>
        <v>XPER</v>
      </c>
      <c r="N75" s="600">
        <f ca="1"/>
        <v>-19217.999999999996</v>
      </c>
      <c r="O75" t="str">
        <f ca="1"/>
        <v>SHECY</v>
      </c>
      <c r="P75" s="600">
        <f ca="1"/>
        <v>-6145.5975000000026</v>
      </c>
      <c r="Q75" t="str">
        <f ca="1"/>
        <v>OXY</v>
      </c>
      <c r="R75" s="705">
        <f ca="1"/>
        <v>-1.8907690476190481E-3</v>
      </c>
      <c r="S75" t="str">
        <f ca="1"/>
        <v>HPE</v>
      </c>
      <c r="T75" s="96">
        <f ca="1"/>
        <v>-1440</v>
      </c>
      <c r="U75" t="str">
        <f ca="1"/>
        <v>OXY</v>
      </c>
      <c r="V75" s="96">
        <f ca="1"/>
        <v>-3640</v>
      </c>
      <c r="W75" t="str">
        <v>MVEALDNE</v>
      </c>
      <c r="X75">
        <v>18</v>
      </c>
      <c r="Y75" t="str">
        <v>GNRC</v>
      </c>
      <c r="Z75">
        <v>15</v>
      </c>
      <c r="AA75" t="str">
        <v>SAFDIS</v>
      </c>
      <c r="AB75">
        <v>36</v>
      </c>
      <c r="AC75" t="str">
        <v>KR</v>
      </c>
      <c r="AD75">
        <v>34</v>
      </c>
      <c r="AE75" t="str">
        <f ca="1"/>
        <v>RIG</v>
      </c>
      <c r="AF75" s="96">
        <f ca="1"/>
        <v>-97744.674999999988</v>
      </c>
      <c r="AG75" t="str">
        <f ca="1"/>
        <v>SHECY</v>
      </c>
      <c r="AH75" s="96">
        <f ca="1"/>
        <v>-1769.9999999999995</v>
      </c>
      <c r="AI75" t="str">
        <f ca="1"/>
        <v>ORA</v>
      </c>
      <c r="AJ75" s="96">
        <f ca="1"/>
        <v>-3740.0000000000018</v>
      </c>
      <c r="AK75" s="99" t="str">
        <f ca="1"/>
        <v>OXY</v>
      </c>
      <c r="AL75" s="333">
        <f ca="1"/>
        <v>-1.8907690476190481E-3</v>
      </c>
      <c r="AM75" t="str">
        <f ca="1"/>
        <v>SAP</v>
      </c>
      <c r="AN75" s="333">
        <f ca="1"/>
        <v>-0.11309883805478461</v>
      </c>
      <c r="AO75" t="str">
        <f ca="1"/>
        <v>MVESAP</v>
      </c>
      <c r="AP75" s="333">
        <f ca="1"/>
        <v>0.15308636229706402</v>
      </c>
      <c r="AQ75" s="96" t="str">
        <f ca="1"/>
        <v>DXC</v>
      </c>
      <c r="AR75" s="99">
        <f ca="1"/>
        <v>-0.21109142082768736</v>
      </c>
    </row>
    <row r="76" spans="2:44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UNIT</v>
      </c>
      <c r="F76" s="599">
        <f ca="1"/>
        <v>0.52775367168646414</v>
      </c>
      <c r="G76" s="165" t="str">
        <f ca="1"/>
        <v>DXC</v>
      </c>
      <c r="H76" s="600">
        <f ca="1"/>
        <v>-43404.646999999968</v>
      </c>
      <c r="I76" t="str">
        <v>NFLX</v>
      </c>
      <c r="J76" s="601">
        <v>-1.2514000000000001E-2</v>
      </c>
      <c r="K76" s="165" t="str">
        <f ca="1"/>
        <v>NFLX</v>
      </c>
      <c r="L76" s="601">
        <f ca="1"/>
        <v>-1.2514000000000001E-2</v>
      </c>
      <c r="M76" s="1" t="str">
        <f ca="1"/>
        <v>DSY</v>
      </c>
      <c r="N76" s="600">
        <f ca="1"/>
        <v>-25785.000000000018</v>
      </c>
      <c r="O76" t="str">
        <f ca="1"/>
        <v>OXY</v>
      </c>
      <c r="P76" s="600">
        <f ca="1"/>
        <v>-6184.5000000000027</v>
      </c>
      <c r="Q76" t="str">
        <f ca="1"/>
        <v>EZJ</v>
      </c>
      <c r="R76" s="705">
        <f ca="1"/>
        <v>-1.9587619047619046E-3</v>
      </c>
      <c r="S76" t="str">
        <f ca="1"/>
        <v>PFE</v>
      </c>
      <c r="T76" s="96">
        <f ca="1"/>
        <v>-1488</v>
      </c>
      <c r="U76" t="str">
        <f ca="1"/>
        <v>RIG</v>
      </c>
      <c r="V76" s="96">
        <f ca="1"/>
        <v>-4025</v>
      </c>
      <c r="W76" t="str">
        <v>MVEENI</v>
      </c>
      <c r="X76">
        <v>18</v>
      </c>
      <c r="Y76" t="str">
        <v>OXY</v>
      </c>
      <c r="Z76">
        <v>15</v>
      </c>
      <c r="AA76" t="str">
        <v>ORA</v>
      </c>
      <c r="AB76">
        <v>36</v>
      </c>
      <c r="AC76" t="str">
        <v>LNSR</v>
      </c>
      <c r="AD76">
        <v>33</v>
      </c>
      <c r="AE76" t="str">
        <f ca="1"/>
        <v>UN0</v>
      </c>
      <c r="AF76" s="96">
        <f ca="1"/>
        <v>-104327.21000000002</v>
      </c>
      <c r="AG76" t="str">
        <f ca="1"/>
        <v>DXC</v>
      </c>
      <c r="AH76" s="96">
        <f ca="1"/>
        <v>-1800.0000000000043</v>
      </c>
      <c r="AI76" t="str">
        <f ca="1"/>
        <v>ASML</v>
      </c>
      <c r="AJ76" s="96">
        <f ca="1"/>
        <v>-4519.9999999999818</v>
      </c>
      <c r="AK76" s="99" t="str">
        <f ca="1"/>
        <v>EZJ</v>
      </c>
      <c r="AL76" s="333">
        <f ca="1"/>
        <v>-1.9587619047619046E-3</v>
      </c>
      <c r="AM76" t="str">
        <f ca="1"/>
        <v>DXC</v>
      </c>
      <c r="AN76" s="333">
        <f ca="1"/>
        <v>-0.11412142969859555</v>
      </c>
      <c r="AO76" t="str">
        <f ca="1"/>
        <v>DSY</v>
      </c>
      <c r="AP76" s="333">
        <f ca="1"/>
        <v>0.15343251088534118</v>
      </c>
      <c r="AQ76" s="96" t="str">
        <f ca="1"/>
        <v>PW</v>
      </c>
      <c r="AR76" s="99">
        <f ca="1"/>
        <v>-0.21389222459760579</v>
      </c>
    </row>
    <row r="77" spans="2:44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SSYS</v>
      </c>
      <c r="F77" s="599">
        <f ca="1"/>
        <v>0.51827453699690851</v>
      </c>
      <c r="G77" s="165" t="str">
        <f ca="1"/>
        <v>CVS</v>
      </c>
      <c r="H77" s="600">
        <f ca="1"/>
        <v>-44373.630000000005</v>
      </c>
      <c r="I77" t="str">
        <v>EPIX</v>
      </c>
      <c r="J77" s="601">
        <v>-1.2652000000000002E-2</v>
      </c>
      <c r="K77" s="165" t="str">
        <f ca="1"/>
        <v>EPIX</v>
      </c>
      <c r="L77" s="601">
        <f ca="1"/>
        <v>-1.2652000000000002E-2</v>
      </c>
      <c r="M77" s="1" t="str">
        <f ca="1"/>
        <v>POET</v>
      </c>
      <c r="N77" s="600">
        <f ca="1"/>
        <v>-28487.841111111091</v>
      </c>
      <c r="O77" t="str">
        <f ca="1"/>
        <v>NFLX</v>
      </c>
      <c r="P77" s="600">
        <f ca="1"/>
        <v>-6399.9599999999855</v>
      </c>
      <c r="Q77" t="str">
        <f ca="1"/>
        <v>HPQ</v>
      </c>
      <c r="R77" s="705">
        <f ca="1"/>
        <v>-2.8322601190476191E-3</v>
      </c>
      <c r="S77" t="str">
        <f ca="1"/>
        <v>DXC</v>
      </c>
      <c r="T77" s="96">
        <f ca="1"/>
        <v>-2400</v>
      </c>
      <c r="U77" t="str">
        <f ca="1"/>
        <v>ASML</v>
      </c>
      <c r="V77" s="96">
        <f ca="1"/>
        <v>-4210.0000000004657</v>
      </c>
      <c r="W77" t="str">
        <v>SAFIAG</v>
      </c>
      <c r="X77">
        <v>18</v>
      </c>
      <c r="Y77" t="str">
        <v>DIS</v>
      </c>
      <c r="Z77">
        <v>16</v>
      </c>
      <c r="AA77" t="str">
        <v>CSCO</v>
      </c>
      <c r="AB77">
        <v>35</v>
      </c>
      <c r="AC77" t="str">
        <v>NOTE</v>
      </c>
      <c r="AD77">
        <v>33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-2062.5000000000005</v>
      </c>
      <c r="AI77" t="str">
        <f ca="1"/>
        <v>PAAS</v>
      </c>
      <c r="AJ77" s="96">
        <f ca="1"/>
        <v>-4659.9999999999964</v>
      </c>
      <c r="AK77" s="99" t="str">
        <f ca="1"/>
        <v>HPQ</v>
      </c>
      <c r="AL77" s="333">
        <f ca="1"/>
        <v>-2.8322601190476191E-3</v>
      </c>
      <c r="AM77" t="str">
        <f ca="1"/>
        <v>UN0</v>
      </c>
      <c r="AN77" s="333">
        <f ca="1"/>
        <v>-0.12827067309945953</v>
      </c>
      <c r="AO77" t="str">
        <f ca="1"/>
        <v>MVEUN0</v>
      </c>
      <c r="AP77" s="333">
        <f ca="1"/>
        <v>0.15448300492610839</v>
      </c>
      <c r="AQ77" s="96" t="str">
        <f ca="1"/>
        <v>NVAX</v>
      </c>
      <c r="AR77" s="99">
        <f ca="1"/>
        <v>-0.29978828510938593</v>
      </c>
    </row>
    <row r="78" spans="2:44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MVEORA</v>
      </c>
      <c r="F78" s="599">
        <f ca="1"/>
        <v>0.48995123707291532</v>
      </c>
      <c r="G78" s="165" t="str">
        <f ca="1"/>
        <v>OXY</v>
      </c>
      <c r="H78" s="600">
        <f ca="1"/>
        <v>-51678.826000000001</v>
      </c>
      <c r="I78" t="str">
        <v>MVEEPIX</v>
      </c>
      <c r="J78" s="601">
        <v>-1.2652000000000002E-2</v>
      </c>
      <c r="K78" s="165" t="str">
        <f ca="1"/>
        <v>MVEEPIX</v>
      </c>
      <c r="L78" s="601">
        <f ca="1"/>
        <v>-1.2652000000000002E-2</v>
      </c>
      <c r="M78" s="1" t="str">
        <f ca="1"/>
        <v>MVEEPIX</v>
      </c>
      <c r="N78" s="600">
        <f ca="1"/>
        <v>-28625.200000000001</v>
      </c>
      <c r="O78" t="str">
        <f ca="1"/>
        <v>MVEDDD</v>
      </c>
      <c r="P78" s="600">
        <f ca="1"/>
        <v>-6458.8125</v>
      </c>
      <c r="Q78" t="str">
        <f ca="1"/>
        <v>IAG</v>
      </c>
      <c r="R78" s="705">
        <f ca="1"/>
        <v>-3.0314291666666657E-3</v>
      </c>
      <c r="S78" t="str">
        <f ca="1"/>
        <v>OXY</v>
      </c>
      <c r="T78" s="96">
        <f ca="1"/>
        <v>-2400</v>
      </c>
      <c r="U78" t="str">
        <f ca="1"/>
        <v>MSFT</v>
      </c>
      <c r="V78" s="96">
        <f ca="1"/>
        <v>-4284</v>
      </c>
      <c r="W78" t="str">
        <v>ENI</v>
      </c>
      <c r="X78">
        <v>18</v>
      </c>
      <c r="Y78" t="str">
        <v>NFLX</v>
      </c>
      <c r="Z78">
        <v>16</v>
      </c>
      <c r="AA78" t="str">
        <v>NEE</v>
      </c>
      <c r="AB78">
        <v>35</v>
      </c>
      <c r="AC78" t="str">
        <v>SHECY</v>
      </c>
      <c r="AD78">
        <v>33</v>
      </c>
      <c r="AE78" t="str">
        <f ca="1"/>
        <v>SHECY</v>
      </c>
      <c r="AF78" s="96">
        <f ca="1"/>
        <v>-136280.77135000005</v>
      </c>
      <c r="AG78" t="str">
        <f ca="1"/>
        <v>MVEDDD</v>
      </c>
      <c r="AH78" s="96">
        <f ca="1"/>
        <v>-2250.0000000000009</v>
      </c>
      <c r="AI78" t="str">
        <f ca="1"/>
        <v>TSM</v>
      </c>
      <c r="AJ78" s="96">
        <f ca="1"/>
        <v>-5864.9999999999945</v>
      </c>
      <c r="AK78" s="99" t="str">
        <f ca="1"/>
        <v>IAG</v>
      </c>
      <c r="AL78" s="333">
        <f ca="1"/>
        <v>-3.0314291666666657E-3</v>
      </c>
      <c r="AM78" t="str">
        <f ca="1"/>
        <v>SHECY</v>
      </c>
      <c r="AN78" s="333">
        <f ca="1"/>
        <v>-0.12976915100592232</v>
      </c>
      <c r="AO78" t="str">
        <f ca="1"/>
        <v>OXY</v>
      </c>
      <c r="AP78" s="333">
        <f ca="1"/>
        <v>0.18747974156811217</v>
      </c>
      <c r="AQ78" s="96" t="str">
        <f ca="1"/>
        <v>DVA</v>
      </c>
      <c r="AR78" s="99">
        <f ca="1"/>
        <v>-0.33940445293254878</v>
      </c>
    </row>
    <row r="79" spans="2:44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ORA</v>
      </c>
      <c r="F79" s="599">
        <f ca="1"/>
        <v>0.48995123707291532</v>
      </c>
      <c r="G79" s="165" t="str">
        <f ca="1"/>
        <v>XPER</v>
      </c>
      <c r="H79" s="600">
        <f ca="1"/>
        <v>-59040.62999999999</v>
      </c>
      <c r="I79" t="str">
        <v>MA</v>
      </c>
      <c r="J79" s="601">
        <v>-1.3333999999999999E-2</v>
      </c>
      <c r="K79" s="165" t="str">
        <f ca="1"/>
        <v>MA</v>
      </c>
      <c r="L79" s="601">
        <f ca="1"/>
        <v>-1.3333999999999999E-2</v>
      </c>
      <c r="M79" s="1" t="str">
        <f ca="1"/>
        <v>UNIT</v>
      </c>
      <c r="N79" s="600">
        <f ca="1"/>
        <v>-31659.687999999987</v>
      </c>
      <c r="O79" t="str">
        <f ca="1"/>
        <v>DVA</v>
      </c>
      <c r="P79" s="600">
        <f ca="1"/>
        <v>-7433.369999999999</v>
      </c>
      <c r="Q79" t="str">
        <f ca="1"/>
        <v>SAFIAG</v>
      </c>
      <c r="R79" s="705">
        <f ca="1"/>
        <v>-3.0314291666666657E-3</v>
      </c>
      <c r="S79" t="str">
        <f ca="1"/>
        <v>NVAX</v>
      </c>
      <c r="T79" s="96">
        <f ca="1"/>
        <v>-2530.0000000000146</v>
      </c>
      <c r="U79" t="str">
        <f ca="1"/>
        <v>DDD</v>
      </c>
      <c r="V79" s="96">
        <f ca="1"/>
        <v>-4500</v>
      </c>
      <c r="W79" t="str">
        <v>MA</v>
      </c>
      <c r="X79">
        <v>18</v>
      </c>
      <c r="Y79" t="str">
        <v>SAFDIS</v>
      </c>
      <c r="Z79">
        <v>16</v>
      </c>
      <c r="AA79" t="str">
        <v>HPQ</v>
      </c>
      <c r="AB79">
        <v>34</v>
      </c>
      <c r="AC79" t="str">
        <v>HPQ</v>
      </c>
      <c r="AD79">
        <v>32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-3641.7000000000107</v>
      </c>
      <c r="AI79" t="str">
        <f ca="1"/>
        <v>RWE</v>
      </c>
      <c r="AJ79" s="96">
        <f ca="1"/>
        <v>-8224</v>
      </c>
      <c r="AK79" s="99" t="str">
        <f ca="1"/>
        <v>SAFIAG</v>
      </c>
      <c r="AL79" s="333">
        <f ca="1"/>
        <v>-3.0314291666666657E-3</v>
      </c>
      <c r="AM79" t="str">
        <f ca="1"/>
        <v>MVESAP</v>
      </c>
      <c r="AN79" s="333">
        <f ca="1"/>
        <v>-0.13430185874019956</v>
      </c>
      <c r="AO79" t="str">
        <f ca="1"/>
        <v>MVEDSY</v>
      </c>
      <c r="AP79" s="333">
        <f ca="1"/>
        <v>0.21801886792452846</v>
      </c>
      <c r="AQ79" s="96" t="str">
        <f ca="1"/>
        <v>BLDP</v>
      </c>
      <c r="AR79" s="99">
        <f ca="1"/>
        <v>-0.39728353140916822</v>
      </c>
    </row>
    <row r="80" spans="2:44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RIGL</v>
      </c>
      <c r="F80" s="599">
        <f ca="1"/>
        <v>0.44301253665774809</v>
      </c>
      <c r="G80" s="165" t="str">
        <f ca="1"/>
        <v>MVEDSY</v>
      </c>
      <c r="H80" s="600">
        <f ca="1"/>
        <v>-68827.396000000008</v>
      </c>
      <c r="I80" t="str">
        <v>HPQ</v>
      </c>
      <c r="J80" s="601">
        <v>-1.3585E-2</v>
      </c>
      <c r="K80" s="165" t="str">
        <f ca="1"/>
        <v>HPQ</v>
      </c>
      <c r="L80" s="601">
        <f ca="1"/>
        <v>-1.3585E-2</v>
      </c>
      <c r="M80" s="1" t="str">
        <f ca="1"/>
        <v>OXY</v>
      </c>
      <c r="N80" s="600">
        <f ca="1"/>
        <v>-34697.9</v>
      </c>
      <c r="O80" t="str">
        <f ca="1"/>
        <v>RIG</v>
      </c>
      <c r="P80" s="600">
        <f ca="1"/>
        <v>-7565.937750000001</v>
      </c>
      <c r="Q80" t="str">
        <f ca="1"/>
        <v>THC</v>
      </c>
      <c r="R80" s="705">
        <f ca="1"/>
        <v>-3.069922619047621E-3</v>
      </c>
      <c r="S80" t="str">
        <f ca="1"/>
        <v>PAAS</v>
      </c>
      <c r="T80" s="96">
        <f ca="1"/>
        <v>-3160</v>
      </c>
      <c r="U80" t="str">
        <f ca="1"/>
        <v>UNIT</v>
      </c>
      <c r="V80" s="96">
        <f ca="1"/>
        <v>-4557.9599999999846</v>
      </c>
      <c r="W80" t="str">
        <v>NVS</v>
      </c>
      <c r="X80">
        <v>18</v>
      </c>
      <c r="Y80" t="str">
        <v>XYZ</v>
      </c>
      <c r="Z80">
        <v>16</v>
      </c>
      <c r="AA80" t="str">
        <v>ADEA</v>
      </c>
      <c r="AB80">
        <v>33</v>
      </c>
      <c r="AC80" t="str">
        <v>BMRA</v>
      </c>
      <c r="AD80">
        <v>31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-3990</v>
      </c>
      <c r="AI80" t="str">
        <f ca="1"/>
        <v>NVS</v>
      </c>
      <c r="AJ80" s="96">
        <f ca="1"/>
        <v>-8445.8000000000029</v>
      </c>
      <c r="AK80" s="99" t="str">
        <f ca="1"/>
        <v>THC</v>
      </c>
      <c r="AL80" s="333">
        <f ca="1"/>
        <v>-3.069922619047621E-3</v>
      </c>
      <c r="AM80" t="str">
        <f ca="1"/>
        <v>MVEUN0</v>
      </c>
      <c r="AN80" s="333">
        <f ca="1"/>
        <v>-0.13534386135930657</v>
      </c>
      <c r="AO80" t="str">
        <f ca="1"/>
        <v>UNIT</v>
      </c>
      <c r="AP80" s="333">
        <f ca="1"/>
        <v>0.24972063898967978</v>
      </c>
      <c r="AQ80" s="96" t="str">
        <f ca="1"/>
        <v>MVEGLE</v>
      </c>
      <c r="AR80" s="99">
        <f ca="1"/>
        <v>-0.39818195005197998</v>
      </c>
    </row>
    <row r="81" spans="2:44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PROF</v>
      </c>
      <c r="F81" s="599">
        <f ca="1"/>
        <v>0.42163988474349978</v>
      </c>
      <c r="G81" s="165" t="str">
        <f ca="1"/>
        <v>VTRS</v>
      </c>
      <c r="H81" s="600">
        <f ca="1"/>
        <v>-86293.949999999953</v>
      </c>
      <c r="I81" t="str">
        <v>SHECY</v>
      </c>
      <c r="J81" s="601">
        <v>-1.3934999999999999E-2</v>
      </c>
      <c r="K81" s="165" t="str">
        <f ca="1"/>
        <v>SHECY</v>
      </c>
      <c r="L81" s="601">
        <f ca="1"/>
        <v>-1.3934999999999999E-2</v>
      </c>
      <c r="M81" s="1" t="str">
        <f ca="1"/>
        <v>SHECY</v>
      </c>
      <c r="N81" s="600">
        <f ca="1"/>
        <v>-51113.200000000041</v>
      </c>
      <c r="O81" t="str">
        <f ca="1"/>
        <v>SSYS</v>
      </c>
      <c r="P81" s="600">
        <f ca="1"/>
        <v>-8850.4184002500006</v>
      </c>
      <c r="Q81" t="str">
        <f ca="1"/>
        <v>MRNA</v>
      </c>
      <c r="R81" s="705">
        <f ca="1"/>
        <v>-3.0700678571428559E-3</v>
      </c>
      <c r="S81" t="str">
        <f ca="1"/>
        <v>UNIT</v>
      </c>
      <c r="T81" s="96">
        <f ca="1"/>
        <v>-3255.6599999999889</v>
      </c>
      <c r="U81" t="str">
        <f ca="1"/>
        <v>LOCK</v>
      </c>
      <c r="V81" s="96">
        <f ca="1"/>
        <v>-4703.1000000000931</v>
      </c>
      <c r="W81" t="str">
        <v>CSCO</v>
      </c>
      <c r="X81">
        <v>19</v>
      </c>
      <c r="Y81" t="str">
        <v>HPQ</v>
      </c>
      <c r="Z81">
        <v>17</v>
      </c>
      <c r="AA81" t="str">
        <v>NOTE</v>
      </c>
      <c r="AB81">
        <v>33</v>
      </c>
      <c r="AC81" t="str">
        <v>DIS</v>
      </c>
      <c r="AD81">
        <v>31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-4369.7999999999993</v>
      </c>
      <c r="AI81" t="str">
        <f ca="1"/>
        <v>XOM</v>
      </c>
      <c r="AJ81" s="96">
        <f ca="1"/>
        <v>-8675.9999999999873</v>
      </c>
      <c r="AK81" s="99" t="str">
        <f ca="1"/>
        <v>MRNA</v>
      </c>
      <c r="AL81" s="333">
        <f ca="1"/>
        <v>-3.0700678571428559E-3</v>
      </c>
      <c r="AM81" t="str">
        <f ca="1"/>
        <v>OXY</v>
      </c>
      <c r="AN81" s="333">
        <f ca="1"/>
        <v>-0.15925043561201246</v>
      </c>
      <c r="AO81" t="str">
        <f ca="1"/>
        <v>ALDNE</v>
      </c>
      <c r="AP81" s="333">
        <f ca="1"/>
        <v>0.30869644769006388</v>
      </c>
      <c r="AQ81" s="96" t="str">
        <f ca="1"/>
        <v>MVEORA</v>
      </c>
      <c r="AR81" s="99">
        <f ca="1"/>
        <v>-0.40318566450970567</v>
      </c>
    </row>
    <row r="82" spans="2:44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DDD</v>
      </c>
      <c r="F82" s="599">
        <f ca="1"/>
        <v>0.41372923122963995</v>
      </c>
      <c r="G82" s="165" t="str">
        <f ca="1"/>
        <v>NVAX</v>
      </c>
      <c r="H82" s="600">
        <f ca="1"/>
        <v>-90303.9</v>
      </c>
      <c r="I82" t="str">
        <v>POET</v>
      </c>
      <c r="J82" s="601">
        <v>-1.6886000000000002E-2</v>
      </c>
      <c r="K82" s="165" t="str">
        <f ca="1"/>
        <v>POET</v>
      </c>
      <c r="L82" s="601">
        <f ca="1"/>
        <v>-1.6886000000000002E-2</v>
      </c>
      <c r="M82" s="1" t="str">
        <f ca="1"/>
        <v>EPIX</v>
      </c>
      <c r="N82" s="600">
        <f ca="1"/>
        <v>-57719.399999999994</v>
      </c>
      <c r="O82" t="str">
        <f ca="1"/>
        <v>SAFDDD</v>
      </c>
      <c r="P82" s="600">
        <f ca="1"/>
        <v>-11251.8</v>
      </c>
      <c r="Q82" t="str">
        <f ca="1"/>
        <v>SAFMRNA</v>
      </c>
      <c r="R82" s="705">
        <f ca="1"/>
        <v>-3.0700678571428559E-3</v>
      </c>
      <c r="S82" t="str">
        <f ca="1"/>
        <v>VONN</v>
      </c>
      <c r="T82" s="96">
        <f ca="1"/>
        <v>-3900</v>
      </c>
      <c r="U82" t="str">
        <f ca="1"/>
        <v>SAFDDD</v>
      </c>
      <c r="V82" s="96">
        <f ca="1"/>
        <v>-5445</v>
      </c>
      <c r="W82" t="str">
        <v>DIS</v>
      </c>
      <c r="X82">
        <v>19</v>
      </c>
      <c r="Y82" t="str">
        <v>THC</v>
      </c>
      <c r="Z82">
        <v>17</v>
      </c>
      <c r="AA82" t="str">
        <v>VLVLY</v>
      </c>
      <c r="AB82">
        <v>33</v>
      </c>
      <c r="AC82" t="str">
        <v>SAFDIS</v>
      </c>
      <c r="AD82">
        <v>31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-4680.0000000000018</v>
      </c>
      <c r="AI82" t="str">
        <f ca="1"/>
        <v>MVEEOAN</v>
      </c>
      <c r="AJ82" s="96">
        <f ca="1"/>
        <v>-8865.35</v>
      </c>
      <c r="AK82" s="99" t="str">
        <f ca="1"/>
        <v>SAFMRNA</v>
      </c>
      <c r="AL82" s="333">
        <f ca="1"/>
        <v>-3.0700678571428559E-3</v>
      </c>
      <c r="AM82" t="str">
        <f ca="1"/>
        <v>MVEDSY</v>
      </c>
      <c r="AN82" s="333">
        <f ca="1"/>
        <v>-0.18022463768115954</v>
      </c>
      <c r="AO82" t="str">
        <f ca="1"/>
        <v>DDD</v>
      </c>
      <c r="AP82" s="333">
        <f ca="1"/>
        <v>0.40642584269662924</v>
      </c>
      <c r="AQ82" s="96" t="str">
        <f ca="1"/>
        <v>MVEDSY</v>
      </c>
      <c r="AR82" s="99">
        <f ca="1"/>
        <v>-0.40625159089752078</v>
      </c>
    </row>
    <row r="83" spans="2:44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MVEDDD</v>
      </c>
      <c r="F83" s="599">
        <f ca="1"/>
        <v>0.41372923122963995</v>
      </c>
      <c r="G83" s="165" t="str">
        <f ca="1"/>
        <v>BMRA</v>
      </c>
      <c r="H83" s="600">
        <f ca="1"/>
        <v>-121745</v>
      </c>
      <c r="I83" t="str">
        <v>CSCO</v>
      </c>
      <c r="J83" s="601">
        <v>-1.7136999999999999E-2</v>
      </c>
      <c r="K83" s="165" t="str">
        <f ca="1"/>
        <v>CSCO</v>
      </c>
      <c r="L83" s="601">
        <f ca="1"/>
        <v>-1.7136999999999999E-2</v>
      </c>
      <c r="M83" s="1" t="str">
        <f ca="1"/>
        <v>SAP</v>
      </c>
      <c r="N83" s="600">
        <f ca="1"/>
        <v>-70622.739999999947</v>
      </c>
      <c r="O83" t="str">
        <f ca="1"/>
        <v>PFE</v>
      </c>
      <c r="P83" s="600">
        <f ca="1"/>
        <v>-12074.360445000004</v>
      </c>
      <c r="Q83" t="str">
        <f ca="1"/>
        <v>AZN</v>
      </c>
      <c r="R83" s="705">
        <f ca="1"/>
        <v>-3.3225714285714291E-3</v>
      </c>
      <c r="S83" t="str">
        <f ca="1"/>
        <v>SAFAMZN</v>
      </c>
      <c r="T83" s="96">
        <f ca="1"/>
        <v>-4400</v>
      </c>
      <c r="U83" t="str">
        <f ca="1"/>
        <v>NVAX</v>
      </c>
      <c r="V83" s="96">
        <f ca="1"/>
        <v>-6710.0000000000146</v>
      </c>
      <c r="W83" t="str">
        <v>DVA</v>
      </c>
      <c r="X83">
        <v>19</v>
      </c>
      <c r="Y83" t="str">
        <v>LOCK</v>
      </c>
      <c r="Z83">
        <v>17</v>
      </c>
      <c r="AA83" t="str">
        <v>LNSR</v>
      </c>
      <c r="AB83">
        <v>32</v>
      </c>
      <c r="AC83" t="str">
        <v>MVEORA</v>
      </c>
      <c r="AD83">
        <v>29</v>
      </c>
      <c r="AE83" t="str">
        <f ca="1"/>
        <v>MVEALDNE</v>
      </c>
      <c r="AF83" s="96">
        <f ca="1"/>
        <v>-175083.06139900006</v>
      </c>
      <c r="AG83" t="str">
        <f ca="1"/>
        <v>SAP</v>
      </c>
      <c r="AH83" s="96">
        <f ca="1"/>
        <v>-5763.4499999999916</v>
      </c>
      <c r="AI83" t="str">
        <f ca="1"/>
        <v>CVS</v>
      </c>
      <c r="AJ83" s="96">
        <f ca="1"/>
        <v>-9191.2499999999964</v>
      </c>
      <c r="AK83" s="99" t="str">
        <f ca="1"/>
        <v>AZN</v>
      </c>
      <c r="AL83" s="333">
        <f ca="1"/>
        <v>-3.3225714285714291E-3</v>
      </c>
      <c r="AM83" t="str">
        <f ca="1"/>
        <v>UNIT</v>
      </c>
      <c r="AN83" s="333">
        <f ca="1"/>
        <v>-0.2009151419155607</v>
      </c>
      <c r="AO83" t="str">
        <f ca="1"/>
        <v>MVEALDNE</v>
      </c>
      <c r="AP83" s="333">
        <f ca="1"/>
        <v>0.41795788647013016</v>
      </c>
      <c r="AQ83" s="96" t="str">
        <f ca="1"/>
        <v>MVEALDNE</v>
      </c>
      <c r="AR83" s="99">
        <f ca="1"/>
        <v>-0.51306451671812159</v>
      </c>
    </row>
    <row r="84" spans="2:44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SAFDDD</v>
      </c>
      <c r="F84" s="599">
        <f ca="1"/>
        <v>0.41372923122963995</v>
      </c>
      <c r="G84" s="165" t="str">
        <f ca="1"/>
        <v>NOTE</v>
      </c>
      <c r="H84" s="600">
        <f ca="1"/>
        <v>-129603.84249999998</v>
      </c>
      <c r="I84" t="str">
        <v>XYZ</v>
      </c>
      <c r="J84" s="601">
        <v>-1.8456E-2</v>
      </c>
      <c r="K84" s="165" t="str">
        <f ca="1"/>
        <v>XYZ</v>
      </c>
      <c r="L84" s="601">
        <f ca="1"/>
        <v>-1.8456E-2</v>
      </c>
      <c r="M84" s="1" t="str">
        <f ca="1"/>
        <v>MVEDSY</v>
      </c>
      <c r="N84" s="600">
        <f ca="1"/>
        <v>-72930.000000000044</v>
      </c>
      <c r="O84" t="str">
        <f ca="1"/>
        <v>MVEDSY</v>
      </c>
      <c r="P84" s="600">
        <f ca="1"/>
        <v>-12418.875</v>
      </c>
      <c r="Q84" t="str">
        <f ca="1"/>
        <v>CVS</v>
      </c>
      <c r="R84" s="705">
        <f ca="1"/>
        <v>-3.7342380952380952E-3</v>
      </c>
      <c r="S84" t="str">
        <f ca="1"/>
        <v>DDD</v>
      </c>
      <c r="T84" s="96">
        <f ca="1"/>
        <v>-4500</v>
      </c>
      <c r="U84" t="str">
        <f ca="1"/>
        <v>IAG</v>
      </c>
      <c r="V84" s="96">
        <f ca="1"/>
        <v>-7020</v>
      </c>
      <c r="W84" t="str">
        <v>MRNA</v>
      </c>
      <c r="X84">
        <v>19</v>
      </c>
      <c r="Y84" t="str">
        <v>CSCO</v>
      </c>
      <c r="Z84">
        <v>18</v>
      </c>
      <c r="AA84" t="str">
        <v>XPER</v>
      </c>
      <c r="AB84">
        <v>32</v>
      </c>
      <c r="AC84" t="str">
        <v>GNRC</v>
      </c>
      <c r="AD84">
        <v>29</v>
      </c>
      <c r="AE84" t="str">
        <f ca="1"/>
        <v>NOTE</v>
      </c>
      <c r="AF84" s="96">
        <f ca="1"/>
        <v>-215816.11749999999</v>
      </c>
      <c r="AG84" t="str">
        <f ca="1"/>
        <v>MVESAP</v>
      </c>
      <c r="AH84" s="96">
        <f ca="1"/>
        <v>-6000</v>
      </c>
      <c r="AI84" t="str">
        <f ca="1"/>
        <v>MVEGLE</v>
      </c>
      <c r="AJ84" s="96">
        <f ca="1"/>
        <v>-9790</v>
      </c>
      <c r="AK84" s="99" t="str">
        <f ca="1"/>
        <v>CVS</v>
      </c>
      <c r="AL84" s="333">
        <f ca="1"/>
        <v>-3.7342380952380952E-3</v>
      </c>
      <c r="AM84" t="str">
        <f ca="1"/>
        <v>ALDNE</v>
      </c>
      <c r="AN84" s="333">
        <f ca="1"/>
        <v>-0.2367444307202809</v>
      </c>
      <c r="AO84" t="str">
        <f ca="1"/>
        <v>SAFDDD</v>
      </c>
      <c r="AP84" s="333">
        <f ca="1"/>
        <v>0.49858591326956997</v>
      </c>
      <c r="AQ84" s="96" t="str">
        <f ca="1"/>
        <v>XPER</v>
      </c>
      <c r="AR84" s="99">
        <f ca="1"/>
        <v>-0.57025772686876675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UN0</v>
      </c>
      <c r="F85" s="599">
        <f ca="1"/>
        <v>0.13715846994535519</v>
      </c>
      <c r="G85" s="165" t="str">
        <f ca="1"/>
        <v>SAFDDD</v>
      </c>
      <c r="H85" s="600">
        <f ca="1"/>
        <v>-147612.91999999998</v>
      </c>
      <c r="I85" t="str">
        <v>GNRC</v>
      </c>
      <c r="J85" s="601">
        <v>-1.8577999999999997E-2</v>
      </c>
      <c r="K85" s="165" t="str">
        <f ca="1"/>
        <v>GNRC</v>
      </c>
      <c r="L85" s="601">
        <f ca="1"/>
        <v>-1.8577999999999997E-2</v>
      </c>
      <c r="M85" s="1" t="str">
        <f ca="1"/>
        <v>DDD</v>
      </c>
      <c r="N85" s="600">
        <f ca="1"/>
        <v>-90986.000000000015</v>
      </c>
      <c r="O85" t="str">
        <f ca="1"/>
        <v>EZJ</v>
      </c>
      <c r="P85" s="600">
        <f ca="1"/>
        <v>-13448.295000000007</v>
      </c>
      <c r="Q85" t="str">
        <f ca="1"/>
        <v>DVA</v>
      </c>
      <c r="R85" s="705">
        <f ca="1"/>
        <v>-3.7730952380952382E-3</v>
      </c>
      <c r="S85" t="str">
        <f ca="1"/>
        <v>SAFDDD</v>
      </c>
      <c r="T85" s="96">
        <f ca="1"/>
        <v>-5445</v>
      </c>
      <c r="U85" t="str">
        <f ca="1"/>
        <v>THC</v>
      </c>
      <c r="V85" s="96">
        <f ca="1"/>
        <v>-10124</v>
      </c>
      <c r="W85" t="str">
        <v>SAP</v>
      </c>
      <c r="X85">
        <v>19</v>
      </c>
      <c r="Y85" t="str">
        <v>NOTE</v>
      </c>
      <c r="Z85">
        <v>18</v>
      </c>
      <c r="AA85" t="str">
        <v>ALDNE</v>
      </c>
      <c r="AB85">
        <v>29</v>
      </c>
      <c r="AC85" t="str">
        <v>ORA</v>
      </c>
      <c r="AD85">
        <v>29</v>
      </c>
      <c r="AE85" t="str">
        <f ca="1"/>
        <v>SAFMRNA</v>
      </c>
      <c r="AF85" s="96">
        <f ca="1"/>
        <v>-235084.05849999998</v>
      </c>
      <c r="AG85" t="str">
        <f ca="1"/>
        <v>DVA</v>
      </c>
      <c r="AH85" s="96">
        <f ca="1"/>
        <v>-6930</v>
      </c>
      <c r="AI85" t="str">
        <f ca="1"/>
        <v>MVERWE</v>
      </c>
      <c r="AJ85" s="96">
        <f ca="1"/>
        <v>-10277.43</v>
      </c>
      <c r="AK85" s="99" t="str">
        <f ca="1"/>
        <v>DVA</v>
      </c>
      <c r="AL85" s="333">
        <f ca="1"/>
        <v>-3.7730952380952382E-3</v>
      </c>
      <c r="AM85" t="str">
        <f ca="1"/>
        <v>MVEALDNE</v>
      </c>
      <c r="AN85" s="333">
        <f ca="1"/>
        <v>-0.29526165171724311</v>
      </c>
      <c r="AO85" t="str">
        <f ca="1"/>
        <v>PROF</v>
      </c>
      <c r="AP85" s="333">
        <f ca="1"/>
        <v>0.53831683168316835</v>
      </c>
      <c r="AQ85" s="96" t="str">
        <f ca="1"/>
        <v>SAP</v>
      </c>
      <c r="AR85" s="99">
        <f ca="1"/>
        <v>-0.5770231544765082</v>
      </c>
    </row>
    <row r="86" spans="2:44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MVEUN0</v>
      </c>
      <c r="F86" s="599">
        <f ca="1"/>
        <v>0.13715846994535519</v>
      </c>
      <c r="G86" s="165" t="str">
        <f ca="1"/>
        <v>XYZ</v>
      </c>
      <c r="H86" s="600">
        <f ca="1"/>
        <v>-161482.90000000002</v>
      </c>
      <c r="I86" t="str">
        <v>AZN</v>
      </c>
      <c r="J86" s="601">
        <v>-1.8988999999999999E-2</v>
      </c>
      <c r="K86" s="165" t="str">
        <f ca="1"/>
        <v>AZN</v>
      </c>
      <c r="L86" s="601">
        <f ca="1"/>
        <v>-1.8988999999999999E-2</v>
      </c>
      <c r="M86" s="1" t="str">
        <f ca="1"/>
        <v>BMRA</v>
      </c>
      <c r="N86" s="600">
        <f ca="1"/>
        <v>-121744.99999999999</v>
      </c>
      <c r="O86" t="str">
        <f ca="1"/>
        <v>SAFMRNA</v>
      </c>
      <c r="P86" s="600">
        <f ca="1"/>
        <v>-20067.704999999998</v>
      </c>
      <c r="Q86" t="str">
        <f ca="1"/>
        <v>DXC</v>
      </c>
      <c r="R86" s="705">
        <f ca="1"/>
        <v>-4.7579761904761909E-3</v>
      </c>
      <c r="S86" t="str">
        <f ca="1"/>
        <v>LOCK</v>
      </c>
      <c r="T86" s="96">
        <f ca="1"/>
        <v>-5782.5</v>
      </c>
      <c r="U86" t="str">
        <f ca="1"/>
        <v>SAFMRNA</v>
      </c>
      <c r="V86" s="96">
        <f ca="1"/>
        <v>-10924.999999999985</v>
      </c>
      <c r="W86" t="str">
        <v>MVESAP</v>
      </c>
      <c r="X86">
        <v>19</v>
      </c>
      <c r="Y86" t="str">
        <v>SHECY</v>
      </c>
      <c r="Z86">
        <v>18</v>
      </c>
      <c r="AA86" t="str">
        <v>MVEALDNE</v>
      </c>
      <c r="AB86">
        <v>29</v>
      </c>
      <c r="AC86" t="str">
        <v>PROF</v>
      </c>
      <c r="AD86">
        <v>28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-7964.9999999999982</v>
      </c>
      <c r="AI86" t="str">
        <f ca="1"/>
        <v>GM</v>
      </c>
      <c r="AJ86" s="96">
        <f ca="1"/>
        <v>-10763.28</v>
      </c>
      <c r="AK86" s="99" t="str">
        <f ca="1"/>
        <v>DXC</v>
      </c>
      <c r="AL86" s="333">
        <f ca="1"/>
        <v>-4.7579761904761909E-3</v>
      </c>
      <c r="AM86" t="str">
        <f ca="1"/>
        <v>PROF</v>
      </c>
      <c r="AN86" s="333">
        <f ca="1"/>
        <v>-0.35011610628283185</v>
      </c>
      <c r="AO86" t="str">
        <f ca="1"/>
        <v>XPER</v>
      </c>
      <c r="AP86" s="333">
        <f ca="1"/>
        <v>0.634912935323383</v>
      </c>
      <c r="AQ86" s="96" t="str">
        <f ca="1"/>
        <v>PROF</v>
      </c>
      <c r="AR86" s="99">
        <f ca="1"/>
        <v>-0.59602685138232114</v>
      </c>
    </row>
    <row r="87" spans="2:44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EPIX</v>
      </c>
      <c r="F87" s="599">
        <f ca="1"/>
        <v>0.1144557343760981</v>
      </c>
      <c r="G87" s="165" t="str">
        <f ca="1"/>
        <v>UN0</v>
      </c>
      <c r="H87" s="600">
        <f ca="1"/>
        <v>-180432.19500000001</v>
      </c>
      <c r="I87" t="str">
        <v>VTRS</v>
      </c>
      <c r="J87" s="601">
        <v>-2.0649000000000001E-2</v>
      </c>
      <c r="K87" s="165" t="str">
        <f ca="1"/>
        <v>VTRS</v>
      </c>
      <c r="L87" s="601">
        <f ca="1"/>
        <v>-2.0649000000000001E-2</v>
      </c>
      <c r="M87" s="1" t="str">
        <f ca="1"/>
        <v>SAFDDD</v>
      </c>
      <c r="N87" s="600">
        <f ca="1"/>
        <v>-134904.85499999998</v>
      </c>
      <c r="O87" t="str">
        <f ca="1"/>
        <v>SAP</v>
      </c>
      <c r="P87" s="600">
        <f ca="1"/>
        <v>-22019.812500000004</v>
      </c>
      <c r="Q87" t="str">
        <f ca="1"/>
        <v>AET</v>
      </c>
      <c r="R87" s="705">
        <f ca="1"/>
        <v>-6.0144642857142853E-3</v>
      </c>
      <c r="S87" t="str">
        <f ca="1"/>
        <v>NEM</v>
      </c>
      <c r="T87" s="96">
        <f ca="1"/>
        <v>-6461</v>
      </c>
      <c r="U87" t="str">
        <f ca="1"/>
        <v>SHECY</v>
      </c>
      <c r="V87" s="96">
        <f ca="1"/>
        <v>-11408</v>
      </c>
      <c r="W87" t="str">
        <v>SAFDIS</v>
      </c>
      <c r="X87">
        <v>19</v>
      </c>
      <c r="Y87" t="str">
        <v>NVAX</v>
      </c>
      <c r="Z87">
        <v>18</v>
      </c>
      <c r="AA87" t="str">
        <v>PFE</v>
      </c>
      <c r="AB87">
        <v>27</v>
      </c>
      <c r="AC87" t="str">
        <v>DVA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NFLX</v>
      </c>
      <c r="AH87" s="96">
        <f ca="1"/>
        <v>-8219.9999999999818</v>
      </c>
      <c r="AI87" t="str">
        <f ca="1"/>
        <v>LNSR</v>
      </c>
      <c r="AJ87" s="96">
        <f ca="1"/>
        <v>-12030</v>
      </c>
      <c r="AK87" s="99" t="str">
        <f ca="1"/>
        <v>AET</v>
      </c>
      <c r="AL87" s="333">
        <f ca="1"/>
        <v>-6.0144642857142853E-3</v>
      </c>
      <c r="AM87" t="str">
        <f ca="1"/>
        <v>XPER</v>
      </c>
      <c r="AN87" s="333">
        <f ca="1"/>
        <v>-0.38830730432668931</v>
      </c>
      <c r="AO87" t="str">
        <f ca="1"/>
        <v>BLNK</v>
      </c>
      <c r="AP87" s="333">
        <f ca="1"/>
        <v>0.8212822994402984</v>
      </c>
      <c r="AQ87" s="96" t="str">
        <f ca="1"/>
        <v>SAFMRNA</v>
      </c>
      <c r="AR87" s="99">
        <f ca="1"/>
        <v>-0.60917078850483475</v>
      </c>
    </row>
    <row r="88" spans="2:44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MVEEPIX</v>
      </c>
      <c r="F88" s="599">
        <f ca="1"/>
        <v>0.1144557343760981</v>
      </c>
      <c r="G88" s="165" t="str">
        <f ca="1"/>
        <v>SAFMRNA</v>
      </c>
      <c r="H88" s="600">
        <f ca="1"/>
        <v>-180866.99599999998</v>
      </c>
      <c r="I88" t="str">
        <v>UNIT</v>
      </c>
      <c r="J88" s="601">
        <v>-2.3910000000000001E-2</v>
      </c>
      <c r="K88" s="165" t="str">
        <f ca="1"/>
        <v>UNIT</v>
      </c>
      <c r="L88" s="601">
        <f ca="1"/>
        <v>-2.3910000000000001E-2</v>
      </c>
      <c r="M88" s="1" t="str">
        <f ca="1"/>
        <v>NOTE</v>
      </c>
      <c r="N88" s="600">
        <f ca="1"/>
        <v>-140735.09249999997</v>
      </c>
      <c r="O88" t="str">
        <f ca="1"/>
        <v>MVESAP</v>
      </c>
      <c r="P88" s="600">
        <f ca="1"/>
        <v>-23231.775000000009</v>
      </c>
      <c r="Q88" t="str">
        <f ca="1"/>
        <v>PFE</v>
      </c>
      <c r="R88" s="705">
        <f ca="1"/>
        <v>-6.1190904761904757E-3</v>
      </c>
      <c r="S88" t="str">
        <f ca="1"/>
        <v>IAG</v>
      </c>
      <c r="T88" s="96">
        <f ca="1"/>
        <v>-7020</v>
      </c>
      <c r="U88" t="str">
        <f ca="1"/>
        <v>VONN</v>
      </c>
      <c r="V88" s="96">
        <f ca="1"/>
        <v>-11700</v>
      </c>
      <c r="W88" t="str">
        <v>SAFMRNA</v>
      </c>
      <c r="X88">
        <v>19</v>
      </c>
      <c r="Y88" t="str">
        <v>VTRS</v>
      </c>
      <c r="Z88">
        <v>19</v>
      </c>
      <c r="AA88" t="str">
        <v>POET</v>
      </c>
      <c r="AB88">
        <v>26</v>
      </c>
      <c r="AC88" t="str">
        <v>NEE</v>
      </c>
      <c r="AD88">
        <v>22</v>
      </c>
      <c r="AE88" t="str">
        <f ca="1"/>
        <v>SAFDDD</v>
      </c>
      <c r="AF88" s="96">
        <f ca="1"/>
        <v>-374563.99874999997</v>
      </c>
      <c r="AG88" t="str">
        <f ca="1"/>
        <v>UNIT</v>
      </c>
      <c r="AH88" s="96">
        <f ca="1"/>
        <v>-14585.088000000003</v>
      </c>
      <c r="AI88" t="str">
        <f ca="1"/>
        <v>GS</v>
      </c>
      <c r="AJ88" s="96">
        <f ca="1"/>
        <v>-14789.300000000003</v>
      </c>
      <c r="AK88" s="99" t="str">
        <f ca="1"/>
        <v>PFE</v>
      </c>
      <c r="AL88" s="333">
        <f ca="1"/>
        <v>-6.1190904761904757E-3</v>
      </c>
      <c r="AM88" t="str">
        <f ca="1"/>
        <v>NOTE</v>
      </c>
      <c r="AN88" s="333">
        <f ca="1"/>
        <v>-0.53431172291296625</v>
      </c>
      <c r="AO88" t="str">
        <f ca="1"/>
        <v>NOTE</v>
      </c>
      <c r="AP88" s="333">
        <f ca="1"/>
        <v>1.1510519125683059</v>
      </c>
      <c r="AQ88" s="96" t="str">
        <f ca="1"/>
        <v>MRNA</v>
      </c>
      <c r="AR88" s="99">
        <f ca="1"/>
        <v>-0.68724786251618486</v>
      </c>
    </row>
    <row r="89" spans="2:44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PW</v>
      </c>
      <c r="F89" s="599">
        <f ca="1"/>
        <v>0.1061239405557194</v>
      </c>
      <c r="G89" s="165" t="str">
        <f ca="1"/>
        <v>MVEALDNE</v>
      </c>
      <c r="H89" s="600">
        <f ca="1"/>
        <v>-188974.797074</v>
      </c>
      <c r="I89" t="str">
        <v>NVS</v>
      </c>
      <c r="J89" s="601">
        <v>-2.7995000000000003E-2</v>
      </c>
      <c r="K89" s="165" t="str">
        <f ca="1"/>
        <v>NVS</v>
      </c>
      <c r="L89" s="601">
        <f ca="1"/>
        <v>-2.7995000000000003E-2</v>
      </c>
      <c r="M89" s="1" t="str">
        <f ca="1"/>
        <v>BLNK</v>
      </c>
      <c r="N89" s="600">
        <f ca="1"/>
        <v>-176618.92499999996</v>
      </c>
      <c r="O89" t="str">
        <f ca="1"/>
        <v>DXC</v>
      </c>
      <c r="P89" s="600">
        <f ca="1"/>
        <v>-25097.100000000006</v>
      </c>
      <c r="Q89" t="str">
        <f ca="1"/>
        <v>RIGL</v>
      </c>
      <c r="R89" s="705">
        <f ca="1"/>
        <v>-6.1943333333333329E-3</v>
      </c>
      <c r="S89" t="str">
        <f ca="1"/>
        <v>TSM</v>
      </c>
      <c r="T89" s="96">
        <f ca="1"/>
        <v>-8085.0000000002328</v>
      </c>
      <c r="U89" t="str">
        <f ca="1"/>
        <v>SAFAMZN</v>
      </c>
      <c r="V89" s="96">
        <f ca="1"/>
        <v>-13390</v>
      </c>
      <c r="W89" t="str">
        <v>EPIX</v>
      </c>
      <c r="X89">
        <v>20</v>
      </c>
      <c r="Y89" t="str">
        <v>MA</v>
      </c>
      <c r="Z89">
        <v>19</v>
      </c>
      <c r="AA89" t="str">
        <v>MRNA</v>
      </c>
      <c r="AB89">
        <v>25</v>
      </c>
      <c r="AC89" t="str">
        <v>XYZ</v>
      </c>
      <c r="AD89">
        <v>21</v>
      </c>
      <c r="AE89" t="str">
        <f ca="1"/>
        <v>SAP</v>
      </c>
      <c r="AF89" s="96">
        <f ca="1"/>
        <v>-392279.04237500008</v>
      </c>
      <c r="AG89" t="str">
        <f ca="1"/>
        <v>MVEEPIX</v>
      </c>
      <c r="AH89" s="96">
        <f ca="1"/>
        <v>-15170.999999999998</v>
      </c>
      <c r="AI89" t="str">
        <f ca="1"/>
        <v>SAFGM</v>
      </c>
      <c r="AJ89" s="96">
        <f ca="1"/>
        <v>-19743.2</v>
      </c>
      <c r="AK89" s="99" t="str">
        <f ca="1"/>
        <v>RIGL</v>
      </c>
      <c r="AL89" s="333">
        <f ca="1"/>
        <v>-6.1943333333333329E-3</v>
      </c>
      <c r="AM89" t="str">
        <f ca="1"/>
        <v>SAFMRNA</v>
      </c>
      <c r="AN89" s="333">
        <f ca="1"/>
        <v>-0.6176253559395396</v>
      </c>
      <c r="AO89" t="str">
        <f ca="1"/>
        <v>SAFMRNA</v>
      </c>
      <c r="AP89" s="333">
        <f ca="1"/>
        <v>1.6233662313908976</v>
      </c>
      <c r="AQ89" s="96" t="str">
        <f ca="1"/>
        <v>MVESAP</v>
      </c>
      <c r="AR89" s="99">
        <f ca="1"/>
        <v>-0.84402035026844546</v>
      </c>
    </row>
    <row r="90" spans="2:44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2.7535437294080589E-2</v>
      </c>
      <c r="G90" s="165" t="str">
        <f ca="1"/>
        <v>BLNK</v>
      </c>
      <c r="H90" s="600">
        <f ca="1"/>
        <v>-294870.89</v>
      </c>
      <c r="I90" t="str">
        <v>DXC</v>
      </c>
      <c r="J90" s="601">
        <v>-3.5739E-2</v>
      </c>
      <c r="K90" s="165" t="str">
        <f ca="1"/>
        <v>DXC</v>
      </c>
      <c r="L90" s="601">
        <f ca="1"/>
        <v>-3.5739E-2</v>
      </c>
      <c r="M90" s="1" t="str">
        <f ca="1"/>
        <v>MVEALDNE</v>
      </c>
      <c r="N90" s="600">
        <f ca="1"/>
        <v>-188974.797074</v>
      </c>
      <c r="O90" t="str">
        <f ca="1"/>
        <v>BLNK</v>
      </c>
      <c r="P90" s="600">
        <f ca="1"/>
        <v>-26742.47625</v>
      </c>
      <c r="Q90" t="str">
        <f ca="1"/>
        <v>VTRS</v>
      </c>
      <c r="R90" s="705">
        <f ca="1"/>
        <v>-6.6121333333333332E-3</v>
      </c>
      <c r="S90" t="str">
        <f ca="1"/>
        <v>SAFMRNA</v>
      </c>
      <c r="T90" s="96">
        <f ca="1"/>
        <v>-8574.9999999999854</v>
      </c>
      <c r="U90" t="str">
        <f ca="1"/>
        <v>NEM</v>
      </c>
      <c r="V90" s="96">
        <f ca="1"/>
        <v>-15047</v>
      </c>
      <c r="W90" t="str">
        <v>NFLX</v>
      </c>
      <c r="X90">
        <v>20</v>
      </c>
      <c r="Y90" t="str">
        <v>AZN</v>
      </c>
      <c r="Z90">
        <v>20</v>
      </c>
      <c r="AA90" t="str">
        <v>SAFMRNA</v>
      </c>
      <c r="AB90">
        <v>25</v>
      </c>
      <c r="AC90" t="str">
        <v>MRNA</v>
      </c>
      <c r="AD90">
        <v>20</v>
      </c>
      <c r="AE90" t="str">
        <f ca="1"/>
        <v>MVEENI</v>
      </c>
      <c r="AF90" s="96">
        <f ca="1"/>
        <v>-403033.40700000006</v>
      </c>
      <c r="AG90" t="str">
        <f ca="1"/>
        <v>XPER</v>
      </c>
      <c r="AH90" s="96">
        <f ca="1"/>
        <v>-16170.000000000002</v>
      </c>
      <c r="AI90" t="str">
        <f ca="1"/>
        <v>AVGO</v>
      </c>
      <c r="AJ90" s="96">
        <f ca="1"/>
        <v>-20734.000000000004</v>
      </c>
      <c r="AK90" s="99" t="str">
        <f ca="1"/>
        <v>VTRS</v>
      </c>
      <c r="AL90" s="333">
        <f ca="1"/>
        <v>-6.6121333333333332E-3</v>
      </c>
      <c r="AM90" t="str">
        <f ca="1"/>
        <v>SSYS</v>
      </c>
      <c r="AN90" s="333">
        <f ca="1"/>
        <v>-0.66234217596348754</v>
      </c>
      <c r="AO90" t="str">
        <f ca="1"/>
        <v>SSYS</v>
      </c>
      <c r="AP90" s="333">
        <f ca="1"/>
        <v>1.9737097986748213</v>
      </c>
      <c r="AQ90" s="96" t="str">
        <f ca="1"/>
        <v>EZJ</v>
      </c>
      <c r="AR90" s="99">
        <f ca="1"/>
        <v>-0.8683718028696169</v>
      </c>
    </row>
    <row r="91" spans="2:44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ALDNE</v>
      </c>
      <c r="F91" s="599">
        <f ca="1"/>
        <v>2.2413793103448276E-2</v>
      </c>
      <c r="G91" s="165" t="str">
        <f ca="1"/>
        <v>LAZR</v>
      </c>
      <c r="H91" s="600">
        <f ca="1"/>
        <v>-307214.99999999994</v>
      </c>
      <c r="I91" t="str">
        <v>NVAX</v>
      </c>
      <c r="J91" s="601">
        <v>-3.6232E-2</v>
      </c>
      <c r="K91" s="165" t="str">
        <f ca="1"/>
        <v>NVAX</v>
      </c>
      <c r="L91" s="601">
        <f ca="1"/>
        <v>-3.6232E-2</v>
      </c>
      <c r="M91" s="1" t="str">
        <f ca="1"/>
        <v>SAFMRNA</v>
      </c>
      <c r="N91" s="600">
        <f ca="1"/>
        <v>-191120.57550000004</v>
      </c>
      <c r="O91" t="str">
        <f ca="1"/>
        <v>NVAX</v>
      </c>
      <c r="P91" s="600">
        <f ca="1"/>
        <v>-26817.787499999995</v>
      </c>
      <c r="Q91" t="str">
        <f ca="1"/>
        <v>NVS</v>
      </c>
      <c r="R91" s="705">
        <f ca="1"/>
        <v>-6.9934392857142862E-3</v>
      </c>
      <c r="S91" t="str">
        <f ca="1"/>
        <v>NFLX</v>
      </c>
      <c r="T91" s="96">
        <f ca="1"/>
        <v>-8769</v>
      </c>
      <c r="U91" t="str">
        <f ca="1"/>
        <v>POET</v>
      </c>
      <c r="V91" s="96">
        <f ca="1"/>
        <v>-18750</v>
      </c>
      <c r="W91" t="str">
        <v>SHECY</v>
      </c>
      <c r="X91">
        <v>20</v>
      </c>
      <c r="Y91" t="str">
        <v>DXC</v>
      </c>
      <c r="Z91">
        <v>20</v>
      </c>
      <c r="AA91" t="str">
        <v>PROF</v>
      </c>
      <c r="AB91">
        <v>23</v>
      </c>
      <c r="AC91" t="str">
        <v>SSYS</v>
      </c>
      <c r="AD91">
        <v>20</v>
      </c>
      <c r="AE91" t="str">
        <f ca="1"/>
        <v>TSM</v>
      </c>
      <c r="AF91" s="96">
        <f ca="1"/>
        <v>-657217.07299999997</v>
      </c>
      <c r="AG91" t="str">
        <f ca="1"/>
        <v>EPIX</v>
      </c>
      <c r="AH91" s="96">
        <f ca="1"/>
        <v>-18205.199999999997</v>
      </c>
      <c r="AI91" t="str">
        <f ca="1"/>
        <v>XYZ</v>
      </c>
      <c r="AJ91" s="96">
        <f ca="1"/>
        <v>-23200.000000000004</v>
      </c>
      <c r="AK91" s="99" t="str">
        <f ca="1"/>
        <v>NVS</v>
      </c>
      <c r="AL91" s="333">
        <f ca="1"/>
        <v>-6.9934392857142862E-3</v>
      </c>
      <c r="AM91" t="str">
        <f ca="1"/>
        <v>MRNA</v>
      </c>
      <c r="AN91" s="333">
        <f ca="1"/>
        <v>-0.67017618394888778</v>
      </c>
      <c r="AO91" t="str">
        <f ca="1"/>
        <v>MRNA</v>
      </c>
      <c r="AP91" s="333">
        <f ca="1"/>
        <v>2.0449409471147026</v>
      </c>
      <c r="AQ91" s="96" t="str">
        <f ca="1"/>
        <v>LAZR</v>
      </c>
      <c r="AR91" s="99">
        <f ca="1"/>
        <v>-1.0940207394769814</v>
      </c>
    </row>
    <row r="92" spans="2:44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MVEALDNE</v>
      </c>
      <c r="F92" s="599">
        <f ca="1"/>
        <v>2.2413793103448276E-2</v>
      </c>
      <c r="G92" s="165" t="str">
        <f ca="1"/>
        <v>DDD</v>
      </c>
      <c r="H92" s="600">
        <f ca="1"/>
        <v>-337014.5</v>
      </c>
      <c r="I92" t="str">
        <v>PFE</v>
      </c>
      <c r="J92" s="601">
        <v>-3.9420999999999998E-2</v>
      </c>
      <c r="K92" s="165" t="str">
        <f ca="1"/>
        <v>PFE</v>
      </c>
      <c r="L92" s="601">
        <f ca="1"/>
        <v>-3.9420999999999998E-2</v>
      </c>
      <c r="M92" s="1" t="str">
        <f ca="1"/>
        <v>LAZR</v>
      </c>
      <c r="N92" s="600">
        <f ca="1"/>
        <v>-307215</v>
      </c>
      <c r="O92" t="str">
        <f ca="1"/>
        <v>XPER</v>
      </c>
      <c r="P92" s="600">
        <f ca="1"/>
        <v>-32462.640000000007</v>
      </c>
      <c r="Q92" t="str">
        <f ca="1"/>
        <v>SSYS</v>
      </c>
      <c r="R92" s="705">
        <f ca="1"/>
        <v>-8.276315476190477E-3</v>
      </c>
      <c r="S92" t="str">
        <f ca="1"/>
        <v>POET</v>
      </c>
      <c r="T92" s="96">
        <f ca="1"/>
        <v>-9500</v>
      </c>
      <c r="U92" t="str">
        <f ca="1"/>
        <v>MRNA</v>
      </c>
      <c r="V92" s="96">
        <f ca="1"/>
        <v>-26220</v>
      </c>
      <c r="W92" t="str">
        <v>VTRS</v>
      </c>
      <c r="X92">
        <v>20</v>
      </c>
      <c r="Y92" t="str">
        <v>MRNA</v>
      </c>
      <c r="Z92">
        <v>20</v>
      </c>
      <c r="AA92" t="str">
        <v>GNRC</v>
      </c>
      <c r="AB92">
        <v>23</v>
      </c>
      <c r="AC92" t="str">
        <v>SAFMRNA</v>
      </c>
      <c r="AD92">
        <v>20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-43990.320000000007</v>
      </c>
      <c r="AI92" t="str">
        <f ca="1"/>
        <v>TSLA</v>
      </c>
      <c r="AJ92" s="96">
        <f ca="1"/>
        <v>-24183.899999999998</v>
      </c>
      <c r="AK92" s="99" t="str">
        <f ca="1"/>
        <v>SSYS</v>
      </c>
      <c r="AL92" s="333">
        <f ca="1"/>
        <v>-8.276315476190477E-3</v>
      </c>
      <c r="AM92" t="str">
        <f ca="1"/>
        <v>BMRA</v>
      </c>
      <c r="AN92" s="333">
        <f ca="1"/>
        <v>-0.76380161325827856</v>
      </c>
      <c r="AO92" t="str">
        <f ca="1"/>
        <v>BMRA</v>
      </c>
      <c r="AP92" s="333">
        <f ca="1"/>
        <v>3.2658221476510065</v>
      </c>
      <c r="AQ92" s="96" t="str">
        <f ca="1"/>
        <v>MVEEPIX</v>
      </c>
      <c r="AR92" s="99">
        <f ca="1"/>
        <v>-1.3686748195669607</v>
      </c>
    </row>
    <row r="93" spans="2:44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VLVLY</v>
      </c>
      <c r="F93" s="599">
        <f ca="1"/>
        <v>1.6135976971641899E-2</v>
      </c>
      <c r="G93" s="165" t="str">
        <f ca="1"/>
        <v>MRNA</v>
      </c>
      <c r="H93" s="600">
        <f ca="1"/>
        <v>-531081.97</v>
      </c>
      <c r="I93" t="str">
        <v>MRNA</v>
      </c>
      <c r="J93" s="601">
        <v>-7.4045E-2</v>
      </c>
      <c r="K93" s="165" t="str">
        <f ca="1"/>
        <v>MRNA</v>
      </c>
      <c r="L93" s="601">
        <f ca="1"/>
        <v>-7.4045E-2</v>
      </c>
      <c r="M93" s="1" t="str">
        <f ca="1"/>
        <v>SSYS</v>
      </c>
      <c r="N93" s="600">
        <f ca="1"/>
        <v>-310185.88999999996</v>
      </c>
      <c r="O93" t="str">
        <f ca="1"/>
        <v>DDD</v>
      </c>
      <c r="P93" s="600">
        <f ca="1"/>
        <v>-36134.437499999993</v>
      </c>
      <c r="Q93" t="str">
        <f ca="1"/>
        <v>PW</v>
      </c>
      <c r="R93" s="705">
        <f ca="1"/>
        <v>-1.3014446190476189E-2</v>
      </c>
      <c r="S93" t="str">
        <f ca="1"/>
        <v>NOTE</v>
      </c>
      <c r="T93" s="96">
        <f ca="1"/>
        <v>-9733.4550000000017</v>
      </c>
      <c r="U93" t="str">
        <f ca="1"/>
        <v>TSM</v>
      </c>
      <c r="V93" s="96">
        <f ca="1"/>
        <v>-29315.000000000233</v>
      </c>
      <c r="W93" t="str">
        <v>MVEEPIX</v>
      </c>
      <c r="X93">
        <v>20</v>
      </c>
      <c r="Y93" t="str">
        <v>SAFMRNA</v>
      </c>
      <c r="Z93">
        <v>20</v>
      </c>
      <c r="AA93" t="str">
        <v>VTRS</v>
      </c>
      <c r="AB93">
        <v>22</v>
      </c>
      <c r="AC93" t="str">
        <v>PFE</v>
      </c>
      <c r="AD93">
        <v>19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-45907.8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-1.3014446190476189E-2</v>
      </c>
      <c r="AM93" t="str">
        <f ca="1"/>
        <v>EPIX</v>
      </c>
      <c r="AN93" s="333">
        <f ca="1"/>
        <v>-0.90234054107424955</v>
      </c>
      <c r="AO93" t="str">
        <f ca="1"/>
        <v>EPIX</v>
      </c>
      <c r="AP93" s="333">
        <f ca="1"/>
        <v>9.4799051256776732</v>
      </c>
      <c r="AQ93" s="96" t="str">
        <f ca="1"/>
        <v>EPIX</v>
      </c>
      <c r="AR93" s="99">
        <f ca="1"/>
        <v>-1.4050113192014817</v>
      </c>
    </row>
    <row r="94" spans="2:44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BMRA</v>
      </c>
      <c r="F94" s="599">
        <f ca="1"/>
        <v>1.0341119817313655E-2</v>
      </c>
      <c r="G94" s="165" t="str">
        <f ca="1"/>
        <v>SSYS</v>
      </c>
      <c r="H94" s="600">
        <f ca="1"/>
        <v>-699564.32010000001</v>
      </c>
      <c r="I94" t="str">
        <v>SAFMRNA</v>
      </c>
      <c r="J94" s="601">
        <v>-7.4045E-2</v>
      </c>
      <c r="K94" s="165" t="str">
        <f ca="1"/>
        <v>SAFMRNA</v>
      </c>
      <c r="L94" s="601">
        <f ca="1"/>
        <v>-7.4045E-2</v>
      </c>
      <c r="M94" s="1" t="str">
        <f ca="1"/>
        <v>MRNA</v>
      </c>
      <c r="N94" s="600">
        <f ca="1"/>
        <v>-577624.03999999992</v>
      </c>
      <c r="O94" t="str">
        <f ca="1"/>
        <v>EPIX</v>
      </c>
      <c r="P94" s="600">
        <f ca="1"/>
        <v>-55531.822500000002</v>
      </c>
      <c r="Q94" t="str">
        <f ca="1"/>
        <v>EPIX</v>
      </c>
      <c r="R94" s="705">
        <f ca="1"/>
        <v>-8.3899583333333305E-2</v>
      </c>
      <c r="S94" t="str">
        <f ca="1"/>
        <v>MRNA</v>
      </c>
      <c r="T94" s="96">
        <f ca="1"/>
        <v>-20580</v>
      </c>
      <c r="U94" t="str">
        <f ca="1"/>
        <v>NFLX</v>
      </c>
      <c r="V94" s="96">
        <f ca="1"/>
        <v>-29337</v>
      </c>
      <c r="W94" t="str">
        <v>PFE</v>
      </c>
      <c r="X94">
        <v>20</v>
      </c>
      <c r="Y94" t="str">
        <v>NVS</v>
      </c>
      <c r="Z94">
        <v>20</v>
      </c>
      <c r="AA94" t="str">
        <v>LAZR</v>
      </c>
      <c r="AB94">
        <v>22</v>
      </c>
      <c r="AC94" t="str">
        <v>VLVLY</v>
      </c>
      <c r="AD94">
        <v>15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-53520</v>
      </c>
      <c r="AI94" t="str">
        <f ca="1"/>
        <v>GLE</v>
      </c>
      <c r="AJ94" s="96">
        <f ca="1"/>
        <v>-52319.999999999993</v>
      </c>
      <c r="AK94" s="99" t="str">
        <f ca="1"/>
        <v>EPIX</v>
      </c>
      <c r="AL94" s="333">
        <f ca="1"/>
        <v>-8.3899583333333305E-2</v>
      </c>
      <c r="AM94" t="str">
        <f ca="1"/>
        <v>LAZR</v>
      </c>
      <c r="AN94" s="333">
        <f ca="1"/>
        <v>-0.91099027690692713</v>
      </c>
      <c r="AO94" t="str">
        <f ca="1"/>
        <v>LAZR</v>
      </c>
      <c r="AP94" s="333">
        <f ca="1"/>
        <v>10.527995814058075</v>
      </c>
      <c r="AQ94" s="96" t="str">
        <f ca="1"/>
        <v>NOTE</v>
      </c>
      <c r="AR94" s="99">
        <f ca="1"/>
        <v>-6.1111111111111116</v>
      </c>
    </row>
    <row r="95" spans="2:44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-700721.04126371676</v>
      </c>
      <c r="I95" t="str">
        <v>NOTE</v>
      </c>
      <c r="J95" s="601">
        <v>-0.102941</v>
      </c>
      <c r="K95" s="165" t="str">
        <f ca="1"/>
        <v>NOTE</v>
      </c>
      <c r="L95" s="602">
        <f ca="1"/>
        <v>-0.102941</v>
      </c>
      <c r="M95" s="1" t="str">
        <f ca="1"/>
        <v>ALDNE</v>
      </c>
      <c r="N95" s="600">
        <f ca="1"/>
        <v>-700721.04126371688</v>
      </c>
      <c r="O95" t="str">
        <f ca="1"/>
        <v>MRNA</v>
      </c>
      <c r="P95" s="600">
        <f ca="1"/>
        <v>-96852.262499999997</v>
      </c>
      <c r="Q95" t="str">
        <f ca="1"/>
        <v>MVEEPIX</v>
      </c>
      <c r="R95" s="705">
        <f ca="1"/>
        <v>-8.3899583333333305E-2</v>
      </c>
      <c r="S95" t="str">
        <f ca="1"/>
        <v>AMZN</v>
      </c>
      <c r="T95" s="96">
        <f ca="1"/>
        <v>-26840</v>
      </c>
      <c r="U95" t="str">
        <f ca="1"/>
        <v>AMZN</v>
      </c>
      <c r="V95" s="96">
        <f ca="1"/>
        <v>-81679</v>
      </c>
      <c r="W95" t="str">
        <v>XYZ</v>
      </c>
      <c r="X95">
        <v>20</v>
      </c>
      <c r="Y95" t="str">
        <v>PFE</v>
      </c>
      <c r="Z95">
        <v>20</v>
      </c>
      <c r="AA95" t="str">
        <v>XYZ</v>
      </c>
      <c r="AB95">
        <v>15</v>
      </c>
      <c r="AC95" t="str">
        <v>VTRS</v>
      </c>
      <c r="AD95">
        <v>10</v>
      </c>
      <c r="AE95" t="str">
        <f ca="1"/>
        <v>ASML</v>
      </c>
      <c r="AF95" s="96">
        <f ca="1"/>
        <v>-3249172.3650000002</v>
      </c>
      <c r="AG95" t="str">
        <f ca="1"/>
        <v>BMRA</v>
      </c>
      <c r="AH95" s="96">
        <f ca="1"/>
        <v>-121744.99999999999</v>
      </c>
      <c r="AI95" t="str">
        <f ca="1"/>
        <v>SAFIAG</v>
      </c>
      <c r="AJ95" s="96">
        <f ca="1"/>
        <v>-80079.999999999985</v>
      </c>
      <c r="AK95" s="99" t="str">
        <f ca="1"/>
        <v>MVEEPIX</v>
      </c>
      <c r="AL95" s="333">
        <f ca="1"/>
        <v>-8.3899583333333305E-2</v>
      </c>
      <c r="AM95" t="str">
        <f ca="1"/>
        <v>MVEEPIX</v>
      </c>
      <c r="AN95" s="333">
        <f ca="1"/>
        <v>-0.9193057630392788</v>
      </c>
      <c r="AO95" t="str">
        <f ca="1"/>
        <v>MVEEPIX</v>
      </c>
      <c r="AP95" s="333">
        <f ca="1"/>
        <v>11.754194595038607</v>
      </c>
      <c r="AQ95" s="96" t="str">
        <f ca="1"/>
        <v>UNIT</v>
      </c>
      <c r="AR95" s="99">
        <f ca="1"/>
        <v>-8.3437952679864829</v>
      </c>
    </row>
    <row r="96" spans="2:44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0.78391580326449306</v>
      </c>
      <c r="G98" s="851">
        <f ca="1">_xlfn.XLOOKUP(G97,G3:G95,H3:H95)</f>
        <v>1107630.1671</v>
      </c>
      <c r="I98" s="333">
        <f>_xlfn.XLOOKUP(I97,I3:I95,J3:J95)</f>
        <v>-7.8469999999999994E-4</v>
      </c>
      <c r="J98" s="331"/>
      <c r="K98" s="333">
        <f ca="1">_xlfn.XLOOKUP(K97,K3:K95,L3:L95)</f>
        <v>-7.8469999999999994E-4</v>
      </c>
      <c r="L98" s="331"/>
      <c r="M98" s="851">
        <f ca="1">_xlfn.XLOOKUP(M97,M3:M95,N3:N95)</f>
        <v>466762.02</v>
      </c>
      <c r="O98" s="851">
        <f ca="1">_xlfn.XLOOKUP(O97,O3:O95,P3:P95)</f>
        <v>-98.228812499999108</v>
      </c>
      <c r="Q98" s="333">
        <f ca="1">_xlfn.XLOOKUP(Q97,Q3:Q95,R3:R95)</f>
        <v>-3.0314291666666657E-3</v>
      </c>
      <c r="S98" s="851">
        <f ca="1">_xlfn.XLOOKUP(S97,S3:S95,T3:T95)</f>
        <v>-7020</v>
      </c>
      <c r="U98" s="851">
        <f ca="1">_xlfn.XLOOKUP(U97,U3:U95,V3:V95)</f>
        <v>-7020</v>
      </c>
      <c r="W98" s="851">
        <f>_xlfn.XLOOKUP(W97,W3:W95,X3:X95)</f>
        <v>18</v>
      </c>
      <c r="Y98" s="851">
        <f>_xlfn.XLOOKUP(Y97,Y3:Y95,Z3:Z95)</f>
        <v>14</v>
      </c>
      <c r="AA98" s="851">
        <f>_xlfn.XLOOKUP(AA97,AA3:AA95,AB3:AB95)</f>
        <v>51</v>
      </c>
      <c r="AC98" s="851">
        <f>_xlfn.XLOOKUP(AC97,AC3:AC95,AD3:AD95)</f>
        <v>48</v>
      </c>
      <c r="AE98" s="851">
        <f ca="1">_xlfn.XLOOKUP(AE97,AE3:AE95,AF3:AF95)</f>
        <v>0</v>
      </c>
      <c r="AG98" s="851">
        <f ca="1">_xlfn.XLOOKUP(AG97,AG3:AG95,AH3:AH95)</f>
        <v>26597.600000000002</v>
      </c>
      <c r="AI98" s="851">
        <f ca="1">_xlfn.XLOOKUP(AI97,AI3:AI95,AJ3:AJ95)</f>
        <v>98.474999999999113</v>
      </c>
      <c r="AK98" s="333">
        <f ca="1">_xlfn.XLOOKUP(AK97,AK3:AK95,AL3:AL95)</f>
        <v>-3.0314291666666657E-3</v>
      </c>
      <c r="AM98" s="333">
        <f ca="1">_xlfn.XLOOKUP(AM97,AM3:AM95,AN3:AN95)</f>
        <v>0.82459050124470923</v>
      </c>
      <c r="AO98" s="333">
        <f ca="1">_xlfn.XLOOKUP(AO97,AO3:AO95,AP3:AP95)</f>
        <v>-0.45505189063408963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G1" zoomScale="90" zoomScaleNormal="9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20" t="s">
        <v>2489</v>
      </c>
      <c r="L1" s="1220"/>
      <c r="M1" s="1220"/>
      <c r="N1" s="1220"/>
      <c r="V1" s="241" t="s">
        <v>1887</v>
      </c>
      <c r="X1" t="s">
        <v>2614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973,186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4" t="str">
        <f>Markov!Y34</f>
        <v>Dataset Size=20 (Recent)</v>
      </c>
      <c r="D3" s="1174"/>
      <c r="E3" s="1175" t="str">
        <f>Markov!AA34</f>
        <v>St.Prob.</v>
      </c>
      <c r="F3" s="1176" t="str">
        <f>Markov!AC34</f>
        <v>Dataset Size-140</v>
      </c>
      <c r="G3" s="1176"/>
      <c r="H3" s="1177" t="str">
        <f>Markov!AE34</f>
        <v>St.Prob.</v>
      </c>
      <c r="J3" s="1120">
        <f ca="1">[1]ExtEntry!$A$1</f>
        <v>45912.856691006251</v>
      </c>
      <c r="K3" s="936" t="str" cm="1">
        <f t="array" aca="1" ref="K3:L22" ca="1">_xlfn._xlws.FILTER(CHOOSE({1,2}, TabTRADER[ClickTick], TabTRADER[Sell_Advice]), (TabTRADER[Cur] = ID_Currency) * (TabTRADER[Sell_Advice]&lt;&gt;""),"No Match")</f>
        <v>AAPL</v>
      </c>
      <c r="L3" s="934" t="str">
        <f ca="1"/>
        <v>150/10,800=35,072</v>
      </c>
      <c r="M3" s="937" t="str" cm="1">
        <f t="array" aca="1" ref="M3:N18" ca="1">_xlfn._xlws.FILTER(CHOOSE({1,2}, TabTRADER[ClickTick], TabTRADER[Buy_Advice]), (TabTRADER[Cur] = ID_Currency) * (TabTRADER[Buy_Advice]&lt;&gt;""),"No Match")</f>
        <v>ADEA</v>
      </c>
      <c r="N3" s="935" t="str">
        <f ca="1"/>
        <v>BUY  4,902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UUU</v>
      </c>
      <c r="E4" s="1053">
        <f ca="1">Markov!AA35</f>
        <v>0.14286411067258228</v>
      </c>
      <c r="F4" s="1033" t="str">
        <f>Markov!AC35</f>
        <v>Last Ttriplet</v>
      </c>
      <c r="G4" s="1033" t="str">
        <f ca="1">Markov!AD35</f>
        <v>UUU</v>
      </c>
      <c r="H4" s="1034">
        <f ca="1">Markov!AE35</f>
        <v>0.15644555694618273</v>
      </c>
      <c r="J4" s="638" t="s">
        <v>1896</v>
      </c>
      <c r="K4" s="938" t="str">
        <f ca="1"/>
        <v>AMZN</v>
      </c>
      <c r="L4" s="660" t="str">
        <f ca="1"/>
        <v>381/12,200=86,881</v>
      </c>
      <c r="M4" s="939" t="str">
        <f ca="1"/>
        <v>AMZN</v>
      </c>
      <c r="N4" s="940" t="str">
        <f ca="1"/>
        <v>BUY  821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0.28571375696758361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0.2690863579474343</v>
      </c>
      <c r="J5" s="683">
        <f ca="1">_xlfn.XLOOKUP(IDTICKER,[1]!RTData[Ticker symbol],[1]!RTData[M-Price])</f>
        <v>395.94</v>
      </c>
      <c r="K5" s="938" t="str">
        <f ca="1"/>
        <v>AZN</v>
      </c>
      <c r="L5" s="660" t="str">
        <f ca="1"/>
        <v>514/1,000=40,926</v>
      </c>
      <c r="M5" s="939" t="str">
        <f ca="1"/>
        <v>CSCO</v>
      </c>
      <c r="N5" s="940" t="str">
        <f ca="1"/>
        <v>BUY  2,793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Free Stock</v>
      </c>
      <c r="B6" s="676">
        <f ca="1">_xlfn.XLOOKUP(IDTICKER,[1]!RTData[Ticker symbol],[1]!RTData[1YT])</f>
        <v>310.53410000000002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0.28571375696758361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0.2690863579474343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658/1,000=43,799</v>
      </c>
      <c r="M6" s="939" t="str">
        <f ca="1"/>
        <v>DIS</v>
      </c>
      <c r="N6" s="940" t="str">
        <f ca="1"/>
        <v>BUY  1,466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-3089.8746704012192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0.14286411067258228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0.15644555694618273</v>
      </c>
      <c r="J7" s="682" t="s">
        <v>36</v>
      </c>
      <c r="K7" s="938" t="str">
        <f ca="1"/>
        <v>HPE</v>
      </c>
      <c r="L7" s="660" t="str">
        <f ca="1"/>
        <v>557/12,000=13,780</v>
      </c>
      <c r="M7" s="939" t="str">
        <f ca="1"/>
        <v>KR</v>
      </c>
      <c r="N7" s="940" t="str">
        <f ca="1"/>
        <v>BUY  1,416</v>
      </c>
    </row>
    <row r="8" spans="1:28" ht="23" thickBot="1" x14ac:dyDescent="0.35">
      <c r="A8" s="647">
        <f ca="1">INT(GL_Now/ID_M)</f>
        <v>213</v>
      </c>
      <c r="B8" s="734">
        <f ca="1">GBpScale*(StockNow*_xlfn.XLOOKUP(IDTICKER,TabTRADER[ClickTick],TabTRADER[Agiotage]))-CurrentValue</f>
        <v>-3937.6618667600305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TSLA1</v>
      </c>
      <c r="K8" s="938" t="str">
        <f ca="1"/>
        <v>MSFT</v>
      </c>
      <c r="L8" s="660" t="str">
        <f ca="1"/>
        <v>38/10,200=19,392</v>
      </c>
      <c r="M8" s="939" t="str">
        <f ca="1"/>
        <v>NEE</v>
      </c>
      <c r="N8" s="940" t="str">
        <f ca="1"/>
        <v>BUY  1,330</v>
      </c>
    </row>
    <row r="9" spans="1:28" ht="23" thickBot="1" x14ac:dyDescent="0.35">
      <c r="B9" s="735">
        <f ca="1">(B7-B8)/(_xlfn.XLOOKUP(IDTICKER,TabTRADER[ClickTick],TabTRADER[L_Sn])*ID_M*GBpScale)</f>
        <v>5.4902594433423046E-3</v>
      </c>
      <c r="C9" s="999">
        <f ca="1">Markov!AA42</f>
        <v>0.47619047619047616</v>
      </c>
      <c r="D9" s="1000">
        <f ca="1">Markov!Z42</f>
        <v>10</v>
      </c>
      <c r="E9" s="1057">
        <f ca="1">Markov!AA42</f>
        <v>0.47619047619047616</v>
      </c>
      <c r="F9" s="999">
        <f ca="1">Markov!AE42</f>
        <v>0.49006622516556292</v>
      </c>
      <c r="G9" s="1000">
        <f ca="1">Markov!AD42</f>
        <v>74</v>
      </c>
      <c r="H9" s="1043">
        <f ca="1">Markov!AE42</f>
        <v>0.49006622516556292</v>
      </c>
      <c r="J9" s="663" t="str">
        <f>IDTICKER&amp;2</f>
        <v>TSLA2</v>
      </c>
      <c r="K9" s="938" t="str">
        <f ca="1"/>
        <v>NEM</v>
      </c>
      <c r="L9" s="660" t="str">
        <f ca="1"/>
        <v>215/14,200=17,013</v>
      </c>
      <c r="M9" s="939" t="str">
        <f ca="1"/>
        <v>NFLX</v>
      </c>
      <c r="N9" s="940" t="str">
        <f ca="1"/>
        <v>BUY  156</v>
      </c>
    </row>
    <row r="10" spans="1:28" ht="23" thickBot="1" x14ac:dyDescent="0.35">
      <c r="A10" s="100">
        <f ca="1">(B7-B8)/(B10*GBpScale)-1</f>
        <v>-0.99450974055665764</v>
      </c>
      <c r="B10" s="734">
        <f ca="1">_xlfn.XLOOKUP(IDTICKER,TabTRADER[ClickTick],TabTRADER[L_Sn])*ID_M</f>
        <v>154416.6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0.14284964629500135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0.11264080100125157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546/4,000=20,027</v>
      </c>
      <c r="M10" s="939" t="str">
        <f ca="1"/>
        <v>RIGL</v>
      </c>
      <c r="N10" s="940" t="str">
        <f ca="1"/>
        <v>BUY  6,579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0</v>
      </c>
      <c r="J11" s="1148" t="str" cm="1">
        <f t="array" aca="1" ref="J11" ca="1">"High "&amp;_xlfn.XLOOKUP(IDTICKER,ListTickers,Tab1High[High20])</f>
        <v>High 396.6899</v>
      </c>
      <c r="K11" s="938" t="str">
        <f ca="1"/>
        <v>RIGL</v>
      </c>
      <c r="L11" s="660" t="str">
        <f ca="1"/>
        <v>259/2,000=9,829</v>
      </c>
      <c r="M11" s="939" t="str">
        <f ca="1"/>
        <v>VLVLY</v>
      </c>
      <c r="N11" s="940" t="str">
        <f ca="1"/>
        <v>BUY  6,523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172.55 (max 0)</v>
      </c>
      <c r="B12" s="689">
        <f ca="1">ABS(ID_A+C15)</f>
        <v>8132.683675000002</v>
      </c>
      <c r="C12" s="1049">
        <f ca="1">Markov!AA47</f>
        <v>0.52380952380952384</v>
      </c>
      <c r="D12" s="1038">
        <f ca="1">Markov!Z47</f>
        <v>11</v>
      </c>
      <c r="E12" s="1058">
        <f ca="1">Markov!AA47</f>
        <v>0.52380952380952384</v>
      </c>
      <c r="F12" s="1050">
        <f ca="1">Markov!AE47</f>
        <v>0.50993377483443714</v>
      </c>
      <c r="G12" s="1038">
        <f ca="1">Markov!AD47</f>
        <v>77</v>
      </c>
      <c r="H12" s="1051">
        <f ca="1">Markov!AE47</f>
        <v>0.50993377483443714</v>
      </c>
      <c r="I12" s="735">
        <f ca="1">_xlfn.XLOOKUP(IDTICKER,[1]!RTData[Ticker symbol],[1]!RTData[RepDiv])</f>
        <v>0</v>
      </c>
      <c r="J12" s="641" t="str" cm="1">
        <f t="array" aca="1" ref="J12" ca="1">"Low. "&amp;_xlfn.XLOOKUP(IDTICKER,ListTickers,Tab1Low[Low20])</f>
        <v>Low. 370.24</v>
      </c>
      <c r="K12" s="938" t="str">
        <f ca="1"/>
        <v>TSM</v>
      </c>
      <c r="L12" s="660" t="str">
        <f ca="1"/>
        <v>207/5,500=53,746</v>
      </c>
      <c r="M12" s="939" t="str">
        <f ca="1"/>
        <v>VTRS</v>
      </c>
      <c r="N12" s="940" t="str">
        <f ca="1"/>
        <v>BUY  8,065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32/350=11,502</v>
      </c>
      <c r="M13" s="939" t="str">
        <f ca="1"/>
        <v>SAFAMZN</v>
      </c>
      <c r="N13" s="940" t="str">
        <f ca="1"/>
        <v>BUY  1,094</v>
      </c>
      <c r="O13" s="63">
        <f>DataShift!U102</f>
        <v>45908</v>
      </c>
      <c r="P13" s="63">
        <f>DataShift!V102</f>
        <v>45909</v>
      </c>
      <c r="Q13" s="63">
        <f>DataShift!W102</f>
        <v>45910</v>
      </c>
      <c r="R13" s="63">
        <f>DataShift!X102</f>
        <v>45911</v>
      </c>
      <c r="S13" s="63">
        <f>DataShift!Y102</f>
        <v>45912</v>
      </c>
      <c r="T13" s="63">
        <f ca="1">DataShift!Z102</f>
        <v>45912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2" t="s">
        <v>2220</v>
      </c>
      <c r="E14" s="669" t="s">
        <v>1910</v>
      </c>
      <c r="F14" s="670">
        <f ca="1">SUM(F15:F16)</f>
        <v>0</v>
      </c>
      <c r="G14" s="670">
        <f ca="1">SUM(G15:G16)</f>
        <v>0</v>
      </c>
      <c r="H14" s="722" t="s">
        <v>1919</v>
      </c>
      <c r="I14" s="78"/>
      <c r="J14" s="1166" t="s">
        <v>1904</v>
      </c>
      <c r="K14" s="938" t="str">
        <f ca="1"/>
        <v>VLVLY</v>
      </c>
      <c r="L14" s="660" t="str">
        <f ca="1"/>
        <v>968/1,500=28,385</v>
      </c>
      <c r="M14" s="939" t="str">
        <f ca="1"/>
        <v>SAFDIS</v>
      </c>
      <c r="N14" s="940" t="str">
        <f ca="1"/>
        <v>BUY  714</v>
      </c>
      <c r="O14" cm="1">
        <f t="array" aca="1" ref="O14" ca="1">_xlfn.XLOOKUP(IDTICKER,ListTickers,Tab1Price[Price15])</f>
        <v>346.4</v>
      </c>
      <c r="P14" cm="1">
        <f t="array" aca="1" ref="P14" ca="1">_xlfn.XLOOKUP(IDTICKER,ListTickers,Tab1Price[Price16])</f>
        <v>346.97</v>
      </c>
      <c r="Q14" cm="1">
        <f t="array" aca="1" ref="Q14" ca="1">_xlfn.XLOOKUP(IDTICKER,ListTickers,Tab1Price[Price17])</f>
        <v>347.79</v>
      </c>
      <c r="R14" cm="1">
        <f t="array" aca="1" ref="R14" ca="1">_xlfn.XLOOKUP(IDTICKER,ListTickers,Tab1Price[Price18])</f>
        <v>368.41</v>
      </c>
      <c r="S14" cm="1">
        <f t="array" aca="1" ref="S14" ca="1">_xlfn.XLOOKUP(IDTICKER,ListTickers,Tab1Price[Price19])</f>
        <v>395.94</v>
      </c>
      <c r="T14" cm="1">
        <f t="array" aca="1" ref="T14" ca="1">_xlfn.XLOOKUP(IDTICKER,ListTickers,Tab1Price[Price20])</f>
        <v>395.94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3365.1</v>
      </c>
      <c r="B15" s="648" cm="1">
        <f t="array" aca="1" ref="B15" ca="1">SUMPRODUCT((ABS(TabFIFO[Price])&lt;ID_M)*ID_M,TabFIFO[Remaining])*GBpScale</f>
        <v>3959.4</v>
      </c>
      <c r="C15" s="767">
        <f ca="1">GL_Now/StockNow</f>
        <v>8469.1936750000023</v>
      </c>
      <c r="D15" s="1165" t="str">
        <f ca="1">"M&gt;"&amp;TEXT(ID_A+GLperShare,"#,#0.00")</f>
        <v>M&gt;8,132.68</v>
      </c>
      <c r="E15" s="768" cm="1">
        <f t="array" ref="E15">SUM((TabFIFO[Price]&lt;=ID_A)*(TabFIFO[Remaining]))</f>
        <v>10</v>
      </c>
      <c r="F15" s="666" cm="1">
        <f t="array" aca="1" ref="F15" ca="1">ABS(SUMPRODUCT((TabFIFO[Price]&lt;ID_A)*TabFIFO[Price],TabFIFO[Remaining])*GBpScale)</f>
        <v>0</v>
      </c>
      <c r="G15" s="667" cm="1">
        <f t="array" aca="1" ref="G15" ca="1">SUMPRODUCT((TabFIFO[Price]&lt;ID_A)*ID_M,TabFIFO[Remaining])*GBpScale</f>
        <v>0</v>
      </c>
      <c r="H15" s="674">
        <f ca="1">FirstLot*BeginCost*GBpScale</f>
        <v>-86274</v>
      </c>
      <c r="I15" s="675">
        <f ca="1">FirstLot*ID_M*GBpScale+H15</f>
        <v>111696</v>
      </c>
      <c r="J15" s="1167">
        <f ca="1">_xlfn.XLOOKUP(IDTICKER,[1]!RTData[Ticker symbol],[1]!RTData[Ddate])</f>
        <v>0</v>
      </c>
      <c r="K15" s="938" t="str">
        <f ca="1"/>
        <v>VTRS</v>
      </c>
      <c r="L15" s="660" t="str">
        <f ca="1"/>
        <v>2,890/5,000=28,786</v>
      </c>
      <c r="M15" s="939" t="str">
        <f ca="1"/>
        <v>GNRC</v>
      </c>
      <c r="N15" s="940" t="str">
        <f ca="1"/>
        <v>BUY  903</v>
      </c>
      <c r="O15" s="6"/>
      <c r="P15" s="6"/>
      <c r="Q15" s="6">
        <f>ABS(ID_A)</f>
        <v>336.51</v>
      </c>
      <c r="R15" s="6">
        <f>ABS(ID_A)</f>
        <v>336.51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8" t="str">
        <f ca="1">TEXT(U20*J5*GBpScale,"#,#0")&amp;" / "&amp;TEXT(U20*C15*GBpScale,"#,#0")</f>
        <v>0 / 0</v>
      </c>
      <c r="D16" s="1165">
        <f ca="1">ID_M+ID_A</f>
        <v>59.430000000000007</v>
      </c>
      <c r="E16" s="1160" cm="1">
        <f t="array" ref="E16">SUM((TabFIFO[Price]&gt;ID_A)*(TabFIFO[Remaining]))</f>
        <v>0</v>
      </c>
      <c r="F16" s="634" cm="1">
        <f t="array" aca="1" ref="F16" ca="1">ABS(SUMPRODUCT((TabFIFO[Price]&gt;ID_A)*TabFIFO[Price],TabFIFO[Remaining])*GBpScale)</f>
        <v>0</v>
      </c>
      <c r="G16" s="619" cm="1">
        <f t="array" aca="1" ref="G16" ca="1">SUMPRODUCT((TabFIFO[Price]&gt;ID_A)*ID_M,TabFIFO[Remaining])*GBpScale</f>
        <v>0</v>
      </c>
      <c r="H16" s="1156">
        <f ca="1">TotalCost+TradeIncome</f>
        <v>80732.536750000028</v>
      </c>
      <c r="I16" s="637">
        <f ca="1">SUM(G19:I19)</f>
        <v>84691.936750000023</v>
      </c>
      <c r="J16" s="941" t="str">
        <f ca="1">TEXT(_xlfn.XLOOKUP(IDTICKER,[1]!RTData[Ticker symbol],[1]!RTData[RepDiv]),"#0.0%")&amp;"="&amp;TEXT(_xlfn.XLOOKUP(IDTICKER,[1]!RTData[Ticker symbol],[1]!RTData[RepDiv])*ID_M_Value,"#,#0")</f>
        <v>0.0%=0</v>
      </c>
      <c r="K16" s="938" t="str">
        <f ca="1"/>
        <v>WBA</v>
      </c>
      <c r="L16" s="660" t="str">
        <f ca="1"/>
        <v>2,604/3,000=31,196</v>
      </c>
      <c r="M16" s="939" t="str">
        <f ca="1"/>
        <v>LUV</v>
      </c>
      <c r="N16" s="940" t="str">
        <f ca="1"/>
        <v>BUY  2,523</v>
      </c>
      <c r="O16" s="99" cm="1">
        <f t="array" aca="1" ref="O16" ca="1">_xlfn.XLOOKUP(IDTICKER,ListTickers,Tab2Agiotage[XAgio15])</f>
        <v>0.97617822324539094</v>
      </c>
      <c r="P16" s="99" cm="1">
        <f t="array" aca="1" ref="P16" ca="1">_xlfn.XLOOKUP(IDTICKER,ListTickers,Tab2Agiotage[XAgio16])</f>
        <v>0.7031178048124791</v>
      </c>
      <c r="Q16" s="99" cm="1">
        <f t="array" aca="1" ref="Q16" ca="1">_xlfn.XLOOKUP(IDTICKER,ListTickers,Tab2Agiotage[XAgio17])</f>
        <v>0.9554427290289188</v>
      </c>
      <c r="R16" s="99" cm="1">
        <f t="array" aca="1" ref="R16" ca="1">_xlfn.XLOOKUP(IDTICKER,ListTickers,Tab2Agiotage[XAgio18])</f>
        <v>1.26028979718001</v>
      </c>
      <c r="S16" s="99" cm="1">
        <f t="array" aca="1" ref="S16" ca="1">_xlfn.XLOOKUP(IDTICKER,ListTickers,Tab2Agiotage[XAgio19])</f>
        <v>2.1738133239969519</v>
      </c>
      <c r="T16" s="99" cm="1">
        <f t="array" aca="1" ref="T16" ca="1">_xlfn.XLOOKUP(IDTICKER,ListTickers,Tab2Agiotage[XAgio20])</f>
        <v>2.1738133239969519</v>
      </c>
    </row>
    <row r="17" spans="1:28" ht="23" thickBot="1" x14ac:dyDescent="0.35">
      <c r="A17" s="668" t="s">
        <v>1990</v>
      </c>
      <c r="B17" s="644" t="s">
        <v>1909</v>
      </c>
      <c r="C17" s="1159" t="s">
        <v>1897</v>
      </c>
      <c r="D17" s="1163" t="s">
        <v>1898</v>
      </c>
      <c r="E17" s="1161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310.53</v>
      </c>
      <c r="K17" s="938" t="str">
        <f ca="1"/>
        <v>SAFAAPL</v>
      </c>
      <c r="L17" s="659" t="str">
        <f ca="1"/>
        <v>142/500=33,183</v>
      </c>
      <c r="M17" s="939" t="str">
        <f ca="1"/>
        <v>RRC</v>
      </c>
      <c r="N17" s="940" t="str">
        <f ca="1"/>
        <v>BUY  8,945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3" t="s">
        <v>1628</v>
      </c>
      <c r="E18" s="652">
        <f ca="1">IF(StockNow*ID_M&lt;&gt;StockNow*ID_M*GBpScale,"math.Error",StockNow*ID_M*GBpScale)</f>
        <v>3959.4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336/2,000=76,560</v>
      </c>
      <c r="M18" s="939" t="str">
        <f ca="1"/>
        <v>THC</v>
      </c>
      <c r="N18" s="1081" t="str">
        <f ca="1"/>
        <v>BUY  3,106</v>
      </c>
      <c r="O18" t="str">
        <f>IDTICKER&amp;": Last 5 Day Price"</f>
        <v>TSLA: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10</v>
      </c>
      <c r="C19" s="665">
        <f ca="1">_xlfn.XLOOKUP(IDTICKER,[1]!RTData[Ticker symbol],[1]!RTData[RepDiv])*ID_M</f>
        <v>0</v>
      </c>
      <c r="D19" s="1164">
        <f>IFERROR(SUMPRODUCT(TabFIFO[Price],TabFIFO[Remaining])/StockNow,0)</f>
        <v>-336.51</v>
      </c>
      <c r="E19" s="653">
        <f>TabFIFO[[#Totals],[Remaining]]</f>
        <v>10</v>
      </c>
      <c r="F19" s="656">
        <f ca="1">TabFIFO[[#Totals],[Profit/Loss]]*GBpScale-(TradeIncome-TotalCost)*Commission</f>
        <v>84098.157861874992</v>
      </c>
      <c r="G19" s="655">
        <f ca="1">TabFIFO[[#Totals],[Income]]*(1-Commission)*GBpScale</f>
        <v>569334.696</v>
      </c>
      <c r="H19" s="658">
        <f ca="1">TabFIFO[[#Totals],[Cost]]*(1+Commission)*GBpScale</f>
        <v>-488602.15924999997</v>
      </c>
      <c r="I19" s="655">
        <f ca="1">TabFIFO[[#Totals],[M-VALUE Now]]*GBpScale</f>
        <v>3959.4</v>
      </c>
      <c r="K19" s="938" t="str">
        <f ca="1"/>
        <v>F</v>
      </c>
      <c r="L19" s="1080" t="str">
        <f ca="1"/>
        <v>2,045/3,000=23,885</v>
      </c>
      <c r="M19" s="939"/>
      <c r="N19" s="1082"/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MA</v>
      </c>
      <c r="L20" s="1080" t="str">
        <f ca="1"/>
        <v>147/200=85,248</v>
      </c>
      <c r="M20" s="939"/>
      <c r="N20" s="1082"/>
      <c r="O20" s="513" t="s">
        <v>681</v>
      </c>
      <c r="P20" s="92">
        <f ca="1">ID_M</f>
        <v>395.94</v>
      </c>
      <c r="Q20" s="609"/>
      <c r="R20" s="609"/>
      <c r="S20" s="976">
        <f>R21</f>
        <v>10</v>
      </c>
      <c r="T20" s="527" cm="1">
        <f t="array" aca="1" ref="T20:W48" ca="1">_xlfn._xlws.SORT(P20:S48)</f>
        <v>172.548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172.548</v>
      </c>
      <c r="Y20" s="945">
        <f ca="1">P20</f>
        <v>395.94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500</v>
      </c>
      <c r="D21" s="614">
        <v>-172.548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-86274</v>
      </c>
      <c r="I21" s="915">
        <f ca="1">TabFIFO[[#This Row],[Remaining]]*ID_M</f>
        <v>0</v>
      </c>
      <c r="K21" s="938" t="str">
        <f ca="1"/>
        <v>THC</v>
      </c>
      <c r="L21" s="1080" t="str">
        <f ca="1"/>
        <v>123/2,200=23,792</v>
      </c>
      <c r="M21" s="939"/>
      <c r="N21" s="1082"/>
      <c r="O21" s="513" t="s">
        <v>1628</v>
      </c>
      <c r="P21" s="947">
        <f>ABS(ID_A)</f>
        <v>336.51</v>
      </c>
      <c r="Q21" s="609"/>
      <c r="R21" s="975">
        <f>MAX(Q22:Q99)</f>
        <v>10</v>
      </c>
      <c r="S21" s="609"/>
      <c r="T21" s="527">
        <f ca="1"/>
        <v>228.2895</v>
      </c>
      <c r="U21" s="91">
        <f ca="1"/>
        <v>0</v>
      </c>
      <c r="V21" s="91">
        <f ca="1"/>
        <v>0</v>
      </c>
      <c r="W21" s="91">
        <f ca="1"/>
        <v>0</v>
      </c>
      <c r="X21" s="92">
        <f t="shared" ref="X21:X37" ca="1" si="0">T21</f>
        <v>228.2895</v>
      </c>
      <c r="Y21" s="946">
        <f>ABS_A</f>
        <v>336.51</v>
      </c>
      <c r="Z21" s="946">
        <v>9.9999999999999995E-7</v>
      </c>
      <c r="AB21" s="91"/>
    </row>
    <row r="22" spans="1:28" x14ac:dyDescent="0.3">
      <c r="A22" s="91"/>
      <c r="B22" s="176"/>
      <c r="C22" s="618">
        <v>490</v>
      </c>
      <c r="D22" s="614">
        <v>176.54</v>
      </c>
      <c r="E22" s="613"/>
      <c r="F22" s="914">
        <v>1956.0799999999872</v>
      </c>
      <c r="G22" s="615">
        <f>IF(TabFIFO[[#This Row],[Price]]&gt;0,TabFIFO[[#This Row],[Number]]*TabFIFO[[#This Row],[Price]],0)</f>
        <v>86504.599999999991</v>
      </c>
      <c r="H22" s="615">
        <f>IF(TabFIFO[[#This Row],[Price]]&lt;0,TabFIFO[[#This Row],[Number]]*TabFIFO[[#This Row],[Price]],0)</f>
        <v>0</v>
      </c>
      <c r="I22" s="623">
        <f ca="1">TabFIFO[[#This Row],[Remaining]]*ID_M</f>
        <v>0</v>
      </c>
      <c r="K22" s="938" t="str">
        <f ca="1"/>
        <v>LOCK</v>
      </c>
      <c r="L22" s="1080" t="str">
        <f ca="1"/>
        <v>1,008/77,100=10,382</v>
      </c>
      <c r="M22" s="939"/>
      <c r="N22" s="1082"/>
      <c r="O22" s="903" t="s">
        <v>1926</v>
      </c>
      <c r="P22" s="921" cm="1">
        <f t="array" ref="P22:P25">ABS(_xlfn._xlws.FILTER(TabFIFO[Price],TabFIFO[Price]&lt;0,NA()))</f>
        <v>172.548</v>
      </c>
      <c r="Q22" s="904" cm="1">
        <f t="array" ref="Q22:Q25">ABS(_xlfn._xlws.FILTER(TabFIFO[Remaining],TabFIFO[Price]&lt;0,0))</f>
        <v>0</v>
      </c>
      <c r="R22" s="905"/>
      <c r="S22" s="905"/>
      <c r="T22" s="922">
        <f ca="1"/>
        <v>336.51</v>
      </c>
      <c r="U22" s="923">
        <f ca="1"/>
        <v>0</v>
      </c>
      <c r="V22" s="923">
        <f ca="1"/>
        <v>10</v>
      </c>
      <c r="W22" s="923">
        <f ca="1"/>
        <v>0</v>
      </c>
      <c r="X22" s="921">
        <f t="shared" ca="1" si="0"/>
        <v>336.51</v>
      </c>
      <c r="Y22" s="924" cm="1">
        <f t="array" ref="Y22:Z48">_xlfn._xlws.SORT(_xlfn._xlws.FILTER(P22:Q48, Q22:Q48 &gt;=0), 1, 1)</f>
        <v>172.548</v>
      </c>
      <c r="Z22" s="906">
        <v>0</v>
      </c>
      <c r="AB22" s="91"/>
    </row>
    <row r="23" spans="1:28" ht="23" thickBot="1" x14ac:dyDescent="0.35">
      <c r="A23" s="91"/>
      <c r="B23" s="176"/>
      <c r="C23" s="618">
        <v>10</v>
      </c>
      <c r="D23" s="614">
        <v>253.83</v>
      </c>
      <c r="E23" s="613"/>
      <c r="F23" s="914">
        <v>812.82000000000016</v>
      </c>
      <c r="G23" s="615">
        <f>IF(TabFIFO[[#This Row],[Price]]&gt;0,TabFIFO[[#This Row],[Number]]*TabFIFO[[#This Row],[Price]],0)</f>
        <v>2538.3000000000002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/>
      <c r="L23" s="1080"/>
      <c r="M23" s="939"/>
      <c r="N23" s="1082"/>
      <c r="O23" s="907" t="s">
        <v>1927</v>
      </c>
      <c r="P23" s="921">
        <v>228.2895</v>
      </c>
      <c r="Q23" s="904">
        <v>0</v>
      </c>
      <c r="R23" s="905"/>
      <c r="S23" s="905">
        <f t="shared" ref="S23:S37" si="1">R23</f>
        <v>0</v>
      </c>
      <c r="T23" s="922">
        <f ca="1"/>
        <v>336.51</v>
      </c>
      <c r="U23" s="923">
        <f ca="1"/>
        <v>10</v>
      </c>
      <c r="V23" s="923">
        <f ca="1"/>
        <v>0</v>
      </c>
      <c r="W23" s="923">
        <f ca="1"/>
        <v>0</v>
      </c>
      <c r="X23" s="921">
        <f t="shared" ca="1" si="0"/>
        <v>336.51</v>
      </c>
      <c r="Y23" s="924">
        <v>228.2895</v>
      </c>
      <c r="Z23" s="906">
        <v>0</v>
      </c>
      <c r="AB23" s="91"/>
    </row>
    <row r="24" spans="1:28" x14ac:dyDescent="0.3">
      <c r="A24" s="91"/>
      <c r="B24" s="176"/>
      <c r="C24" s="618">
        <v>1000</v>
      </c>
      <c r="D24" s="614">
        <v>-228.2895</v>
      </c>
      <c r="E24" s="613">
        <v>0</v>
      </c>
      <c r="F24" s="914">
        <v>0</v>
      </c>
      <c r="G24" s="615">
        <f>IF(TabFIFO[[#This Row],[Price]]&gt;0,TabFIFO[[#This Row],[Number]]*TabFIFO[[#This Row],[Price]],0)</f>
        <v>0</v>
      </c>
      <c r="H24" s="615">
        <f>IF(TabFIFO[[#This Row],[Price]]&lt;0,TabFIFO[[#This Row],[Number]]*TabFIFO[[#This Row],[Price]],0)</f>
        <v>-228289.5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382.16199999999998</v>
      </c>
      <c r="Q24" s="904">
        <v>0</v>
      </c>
      <c r="R24" s="905"/>
      <c r="S24" s="905">
        <f t="shared" si="1"/>
        <v>0</v>
      </c>
      <c r="T24" s="922">
        <f ca="1"/>
        <v>382.16199999999998</v>
      </c>
      <c r="U24" s="923">
        <f ca="1"/>
        <v>0</v>
      </c>
      <c r="V24" s="923">
        <f ca="1"/>
        <v>0</v>
      </c>
      <c r="W24" s="923">
        <f ca="1"/>
        <v>0</v>
      </c>
      <c r="X24" s="921">
        <f t="shared" ca="1" si="0"/>
        <v>382.16199999999998</v>
      </c>
      <c r="Y24" s="924">
        <v>336.51</v>
      </c>
      <c r="Z24" s="906">
        <v>10</v>
      </c>
      <c r="AB24" s="91"/>
    </row>
    <row r="25" spans="1:28" x14ac:dyDescent="0.3">
      <c r="A25" s="91"/>
      <c r="B25" s="176"/>
      <c r="C25" s="618">
        <v>500</v>
      </c>
      <c r="D25" s="614">
        <v>242.06</v>
      </c>
      <c r="E25" s="613"/>
      <c r="F25" s="914">
        <v>6885.25</v>
      </c>
      <c r="G25" s="615">
        <f>IF(TabFIFO[[#This Row],[Price]]&gt;0,TabFIFO[[#This Row],[Number]]*TabFIFO[[#This Row],[Price]],0)</f>
        <v>121030</v>
      </c>
      <c r="H25" s="615">
        <f>IF(TabFIFO[[#This Row],[Price]]&lt;0,TabFIFO[[#This Row],[Number]]*TabFIFO[[#This Row],[Price]],0)</f>
        <v>0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336.51</v>
      </c>
      <c r="Q25" s="904">
        <v>10</v>
      </c>
      <c r="R25" s="905"/>
      <c r="S25" s="905">
        <f t="shared" si="1"/>
        <v>0</v>
      </c>
      <c r="T25" s="922">
        <f ca="1"/>
        <v>395.94</v>
      </c>
      <c r="U25" s="923">
        <f ca="1"/>
        <v>0</v>
      </c>
      <c r="V25" s="923">
        <f ca="1"/>
        <v>0</v>
      </c>
      <c r="W25" s="923">
        <f ca="1"/>
        <v>10</v>
      </c>
      <c r="X25" s="921">
        <f t="shared" ca="1" si="0"/>
        <v>395.94</v>
      </c>
      <c r="Y25" s="924">
        <v>382.16199999999998</v>
      </c>
      <c r="Z25" s="906">
        <v>0</v>
      </c>
      <c r="AB25" s="91"/>
    </row>
    <row r="26" spans="1:28" x14ac:dyDescent="0.3">
      <c r="A26" s="91"/>
      <c r="B26" s="176"/>
      <c r="C26" s="618">
        <v>400</v>
      </c>
      <c r="D26" s="614">
        <v>397.49</v>
      </c>
      <c r="E26" s="613"/>
      <c r="F26" s="914">
        <v>67680.2</v>
      </c>
      <c r="G26" s="615">
        <f>IF(TabFIFO[[#This Row],[Price]]&gt;0,TabFIFO[[#This Row],[Number]]*TabFIFO[[#This Row],[Price]],0)</f>
        <v>158996</v>
      </c>
      <c r="H26" s="615">
        <f>IF(TabFIFO[[#This Row],[Price]]&lt;0,TabFIFO[[#This Row],[Number]]*TabFIFO[[#This Row],[Price]],0)</f>
        <v>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/>
      <c r="Q26" s="904"/>
      <c r="R26" s="905"/>
      <c r="S26" s="905">
        <f t="shared" si="1"/>
        <v>0</v>
      </c>
      <c r="T26" s="922">
        <f ca="1"/>
        <v>0</v>
      </c>
      <c r="U26" s="923">
        <f ca="1"/>
        <v>0</v>
      </c>
      <c r="V26" s="923">
        <f ca="1"/>
        <v>0</v>
      </c>
      <c r="W26" s="923">
        <f ca="1"/>
        <v>0</v>
      </c>
      <c r="X26" s="921">
        <f t="shared" ca="1" si="0"/>
        <v>0</v>
      </c>
      <c r="Y26" s="924">
        <v>0</v>
      </c>
      <c r="Z26" s="906">
        <v>0</v>
      </c>
      <c r="AB26" s="91"/>
    </row>
    <row r="27" spans="1:28" x14ac:dyDescent="0.3">
      <c r="A27" s="91"/>
      <c r="B27" s="176"/>
      <c r="C27" s="618">
        <v>100</v>
      </c>
      <c r="D27" s="614">
        <v>-382.16199999999998</v>
      </c>
      <c r="E27" s="613">
        <v>0</v>
      </c>
      <c r="F27" s="914">
        <v>0</v>
      </c>
      <c r="G27" s="615">
        <f>IF(TabFIFO[[#This Row],[Price]]&gt;0,TabFIFO[[#This Row],[Number]]*TabFIFO[[#This Row],[Price]],0)</f>
        <v>0</v>
      </c>
      <c r="H27" s="615">
        <f>IF(TabFIFO[[#This Row],[Price]]&lt;0,TabFIFO[[#This Row],[Number]]*TabFIFO[[#This Row],[Price]],0)</f>
        <v>-38216.199999999997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/>
      <c r="Q27" s="904"/>
      <c r="R27" s="905"/>
      <c r="S27" s="905">
        <f t="shared" si="1"/>
        <v>0</v>
      </c>
      <c r="T27" s="922">
        <f ca="1"/>
        <v>0</v>
      </c>
      <c r="U27" s="923">
        <f ca="1"/>
        <v>0</v>
      </c>
      <c r="V27" s="923">
        <f ca="1"/>
        <v>0</v>
      </c>
      <c r="W27" s="923">
        <f ca="1"/>
        <v>0</v>
      </c>
      <c r="X27" s="921">
        <f t="shared" ca="1" si="0"/>
        <v>0</v>
      </c>
      <c r="Y27" s="924">
        <v>0</v>
      </c>
      <c r="Z27" s="906">
        <v>0</v>
      </c>
      <c r="AB27" s="91"/>
    </row>
    <row r="28" spans="1:28" x14ac:dyDescent="0.3">
      <c r="A28" s="91"/>
      <c r="B28" s="176"/>
      <c r="C28" s="618">
        <v>400</v>
      </c>
      <c r="D28" s="614">
        <v>-336.51</v>
      </c>
      <c r="E28" s="613">
        <v>10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-134604</v>
      </c>
      <c r="I28" s="623">
        <f ca="1">TabFIFO[[#This Row],[Remaining]]*ID_M</f>
        <v>3959.4</v>
      </c>
      <c r="K28" s="938"/>
      <c r="L28" s="1080"/>
      <c r="M28" s="939"/>
      <c r="N28" s="1082"/>
      <c r="O28" s="925"/>
      <c r="P28" s="921"/>
      <c r="Q28" s="904"/>
      <c r="R28" s="905"/>
      <c r="S28" s="905">
        <f t="shared" si="1"/>
        <v>0</v>
      </c>
      <c r="T28" s="922">
        <f ca="1"/>
        <v>0</v>
      </c>
      <c r="U28" s="923">
        <f ca="1"/>
        <v>0</v>
      </c>
      <c r="V28" s="923">
        <f ca="1"/>
        <v>0</v>
      </c>
      <c r="W28" s="923">
        <f ca="1"/>
        <v>0</v>
      </c>
      <c r="X28" s="921">
        <f t="shared" ca="1" si="0"/>
        <v>0</v>
      </c>
      <c r="Y28" s="924">
        <v>0</v>
      </c>
      <c r="Z28" s="906">
        <v>0</v>
      </c>
      <c r="AB28" s="91"/>
    </row>
    <row r="29" spans="1:28" x14ac:dyDescent="0.3">
      <c r="A29" s="91"/>
      <c r="B29" s="176"/>
      <c r="C29" s="618">
        <v>200</v>
      </c>
      <c r="D29" s="614">
        <v>357.3</v>
      </c>
      <c r="E29" s="613"/>
      <c r="F29" s="914">
        <v>10414.850000000006</v>
      </c>
      <c r="G29" s="615">
        <f>IF(TabFIFO[[#This Row],[Price]]&gt;0,TabFIFO[[#This Row],[Number]]*TabFIFO[[#This Row],[Price]],0)</f>
        <v>71460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/>
      <c r="Q29" s="904"/>
      <c r="R29" s="905"/>
      <c r="S29" s="905">
        <f t="shared" si="1"/>
        <v>0</v>
      </c>
      <c r="T29" s="922">
        <f ca="1"/>
        <v>0</v>
      </c>
      <c r="U29" s="923">
        <f ca="1"/>
        <v>0</v>
      </c>
      <c r="V29" s="923">
        <f ca="1"/>
        <v>0</v>
      </c>
      <c r="W29" s="923">
        <f ca="1"/>
        <v>0</v>
      </c>
      <c r="X29" s="921">
        <f t="shared" ca="1" si="0"/>
        <v>0</v>
      </c>
      <c r="Y29" s="924">
        <v>0</v>
      </c>
      <c r="Z29" s="906">
        <v>0</v>
      </c>
      <c r="AB29" s="91"/>
    </row>
    <row r="30" spans="1:28" x14ac:dyDescent="0.3">
      <c r="A30" s="91"/>
      <c r="B30" s="176"/>
      <c r="C30" s="618">
        <v>390</v>
      </c>
      <c r="D30" s="614">
        <v>333.93</v>
      </c>
      <c r="E30" s="613"/>
      <c r="F30" s="914">
        <v>-1006.1999999999971</v>
      </c>
      <c r="G30" s="615">
        <f>IF(TabFIFO[[#This Row],[Price]]&gt;0,TabFIFO[[#This Row],[Number]]*TabFIFO[[#This Row],[Price]],0)</f>
        <v>130232.7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/>
      <c r="Q30" s="904"/>
      <c r="R30" s="905"/>
      <c r="S30" s="905">
        <f t="shared" si="1"/>
        <v>0</v>
      </c>
      <c r="T30" s="922">
        <f ca="1"/>
        <v>0</v>
      </c>
      <c r="U30" s="923">
        <f ca="1"/>
        <v>0</v>
      </c>
      <c r="V30" s="923">
        <f ca="1"/>
        <v>0</v>
      </c>
      <c r="W30" s="923">
        <f ca="1"/>
        <v>0</v>
      </c>
      <c r="X30" s="921">
        <f t="shared" ca="1" si="0"/>
        <v>0</v>
      </c>
      <c r="Y30" s="924">
        <v>0</v>
      </c>
      <c r="Z30" s="906">
        <v>0</v>
      </c>
      <c r="AB30" s="91"/>
    </row>
    <row r="31" spans="1:28" x14ac:dyDescent="0.3">
      <c r="A31" s="91"/>
      <c r="B31" s="176"/>
      <c r="C31" s="916">
        <f>SUBTOTAL(109,TabFIFO[Number])</f>
        <v>3990</v>
      </c>
      <c r="D31" s="616"/>
      <c r="E31" s="622">
        <f>SUBTOTAL(109,TabFIFO[Remaining])</f>
        <v>10</v>
      </c>
      <c r="F31" s="278">
        <f>SUBTOTAL(109,TabFIFO[Profit/Loss])</f>
        <v>86742.999999999985</v>
      </c>
      <c r="G31" s="278">
        <f>SUBTOTAL(109,TabFIFO[Income])</f>
        <v>570761.6</v>
      </c>
      <c r="H31" s="278">
        <f>SUBTOTAL(109,TabFIFO[Cost])</f>
        <v>-487383.7</v>
      </c>
      <c r="I31" s="278">
        <f ca="1">SUBTOTAL(109,TabFIFO[M-VALUE Now])</f>
        <v>3959.4</v>
      </c>
      <c r="K31" s="938"/>
      <c r="L31" s="1080"/>
      <c r="M31" s="939"/>
      <c r="N31" s="1082"/>
      <c r="O31" s="925"/>
      <c r="P31" s="921"/>
      <c r="Q31" s="904"/>
      <c r="R31" s="905"/>
      <c r="S31" s="905">
        <f t="shared" si="1"/>
        <v>0</v>
      </c>
      <c r="T31" s="922">
        <f ca="1"/>
        <v>0</v>
      </c>
      <c r="U31" s="923">
        <f ca="1"/>
        <v>0</v>
      </c>
      <c r="V31" s="923">
        <f ca="1"/>
        <v>0</v>
      </c>
      <c r="W31" s="923">
        <f ca="1"/>
        <v>0</v>
      </c>
      <c r="X31" s="921">
        <f t="shared" ca="1" si="0"/>
        <v>0</v>
      </c>
      <c r="Y31" s="924">
        <v>0</v>
      </c>
      <c r="Z31" s="906">
        <v>0</v>
      </c>
      <c r="AB31" s="91"/>
    </row>
    <row r="32" spans="1:28" x14ac:dyDescent="0.3">
      <c r="A32" s="91"/>
      <c r="B32" s="176"/>
      <c r="E32" s="618"/>
      <c r="F32">
        <v>0</v>
      </c>
      <c r="K32" s="1083"/>
      <c r="L32" s="1084"/>
      <c r="M32" s="939"/>
      <c r="N32" s="1082"/>
      <c r="O32" s="925"/>
      <c r="P32" s="921"/>
      <c r="Q32" s="904"/>
      <c r="R32" s="905"/>
      <c r="S32" s="905">
        <f t="shared" si="1"/>
        <v>0</v>
      </c>
      <c r="T32" s="922">
        <f ca="1"/>
        <v>0</v>
      </c>
      <c r="U32" s="923">
        <f ca="1"/>
        <v>0</v>
      </c>
      <c r="V32" s="923">
        <f ca="1"/>
        <v>0</v>
      </c>
      <c r="W32" s="923">
        <f ca="1"/>
        <v>0</v>
      </c>
      <c r="X32" s="921">
        <f t="shared" ca="1" si="0"/>
        <v>0</v>
      </c>
      <c r="Y32" s="924">
        <v>0</v>
      </c>
      <c r="Z32" s="906">
        <v>0</v>
      </c>
      <c r="AB32" s="91"/>
    </row>
    <row r="33" spans="1:28" x14ac:dyDescent="0.3">
      <c r="A33" s="91"/>
      <c r="B33" s="176"/>
      <c r="F33">
        <v>0</v>
      </c>
      <c r="K33" s="1083"/>
      <c r="L33" s="1084"/>
      <c r="M33" s="939"/>
      <c r="N33" s="1082"/>
      <c r="O33" s="925"/>
      <c r="P33" s="921"/>
      <c r="Q33" s="904"/>
      <c r="R33" s="905"/>
      <c r="S33" s="905">
        <f t="shared" si="1"/>
        <v>0</v>
      </c>
      <c r="T33" s="922">
        <f ca="1"/>
        <v>0</v>
      </c>
      <c r="U33" s="923">
        <f ca="1"/>
        <v>0</v>
      </c>
      <c r="V33" s="923">
        <f ca="1"/>
        <v>0</v>
      </c>
      <c r="W33" s="923">
        <f ca="1"/>
        <v>0</v>
      </c>
      <c r="X33" s="921">
        <f t="shared" ca="1" si="0"/>
        <v>0</v>
      </c>
      <c r="Y33" s="924">
        <v>0</v>
      </c>
      <c r="Z33" s="906">
        <v>0</v>
      </c>
      <c r="AB33" s="91"/>
    </row>
    <row r="34" spans="1:28" x14ac:dyDescent="0.3">
      <c r="A34" s="91"/>
      <c r="F34">
        <v>0</v>
      </c>
      <c r="K34" s="1083"/>
      <c r="L34" s="1084"/>
      <c r="M34" s="939"/>
      <c r="N34" s="1082"/>
      <c r="O34" s="925"/>
      <c r="P34" s="921"/>
      <c r="Q34" s="904"/>
      <c r="R34" s="905"/>
      <c r="S34" s="905">
        <f t="shared" si="1"/>
        <v>0</v>
      </c>
      <c r="T34" s="922">
        <f ca="1"/>
        <v>0</v>
      </c>
      <c r="U34" s="923">
        <f ca="1"/>
        <v>0</v>
      </c>
      <c r="V34" s="923">
        <f ca="1"/>
        <v>0</v>
      </c>
      <c r="W34" s="923">
        <f ca="1"/>
        <v>0</v>
      </c>
      <c r="X34" s="921">
        <f t="shared" ca="1" si="0"/>
        <v>0</v>
      </c>
      <c r="Y34" s="924">
        <v>0</v>
      </c>
      <c r="Z34" s="906">
        <v>0</v>
      </c>
      <c r="AB34" s="91"/>
    </row>
    <row r="35" spans="1:28" x14ac:dyDescent="0.3">
      <c r="A35" s="91"/>
      <c r="B35" s="176"/>
      <c r="F35">
        <v>0</v>
      </c>
      <c r="K35" s="1083"/>
      <c r="L35" s="1084"/>
      <c r="M35" s="939"/>
      <c r="N35" s="1082"/>
      <c r="O35" s="925"/>
      <c r="P35" s="921"/>
      <c r="Q35" s="388"/>
      <c r="R35" s="905"/>
      <c r="S35" s="905">
        <f t="shared" si="1"/>
        <v>0</v>
      </c>
      <c r="T35" s="922">
        <f ca="1"/>
        <v>0</v>
      </c>
      <c r="U35" s="923">
        <f ca="1"/>
        <v>0</v>
      </c>
      <c r="V35" s="923">
        <f ca="1"/>
        <v>0</v>
      </c>
      <c r="W35" s="923">
        <f ca="1"/>
        <v>0</v>
      </c>
      <c r="X35" s="921">
        <f t="shared" ca="1" si="0"/>
        <v>0</v>
      </c>
      <c r="Y35" s="924">
        <v>0</v>
      </c>
      <c r="Z35" s="906">
        <v>0</v>
      </c>
      <c r="AB35" s="91"/>
    </row>
    <row r="36" spans="1:28" x14ac:dyDescent="0.3">
      <c r="A36" s="91"/>
      <c r="B36" s="176"/>
      <c r="F36">
        <v>0</v>
      </c>
      <c r="H36" s="902"/>
      <c r="K36" s="1083"/>
      <c r="L36" s="1084"/>
      <c r="M36" s="939"/>
      <c r="N36" s="1082"/>
      <c r="O36" s="925"/>
      <c r="P36" s="921"/>
      <c r="Q36" s="904"/>
      <c r="R36" s="905"/>
      <c r="S36" s="905">
        <f t="shared" si="1"/>
        <v>0</v>
      </c>
      <c r="T36" s="922">
        <f ca="1"/>
        <v>0</v>
      </c>
      <c r="U36" s="923">
        <f ca="1"/>
        <v>0</v>
      </c>
      <c r="V36" s="923">
        <f ca="1"/>
        <v>0</v>
      </c>
      <c r="W36" s="923">
        <f ca="1"/>
        <v>0</v>
      </c>
      <c r="X36" s="921">
        <f t="shared" ca="1" si="0"/>
        <v>0</v>
      </c>
      <c r="Y36" s="924">
        <v>0</v>
      </c>
      <c r="Z36" s="906">
        <v>0</v>
      </c>
      <c r="AB36" s="91"/>
    </row>
    <row r="37" spans="1:28" x14ac:dyDescent="0.3">
      <c r="A37" s="91"/>
      <c r="B37" s="176"/>
      <c r="F37"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F38"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F39"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F40">
        <v>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F41">
        <v>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F42">
        <v>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F43">
        <v>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F44">
        <v>0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F45"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F46">
        <v>0</v>
      </c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O50" s="17"/>
      <c r="Q50" s="904"/>
      <c r="R50" s="904"/>
      <c r="S50" s="904"/>
      <c r="Y50" s="80"/>
    </row>
    <row r="51" spans="1:28" x14ac:dyDescent="0.3">
      <c r="O51" s="17"/>
      <c r="Q51" s="904"/>
      <c r="R51" s="904"/>
      <c r="S51" s="904"/>
      <c r="Y51" s="80"/>
    </row>
    <row r="52" spans="1:28" x14ac:dyDescent="0.3">
      <c r="O52" s="17"/>
      <c r="Q52" s="904"/>
      <c r="R52" s="904"/>
      <c r="S52" s="904"/>
      <c r="Y52" s="80"/>
    </row>
    <row r="53" spans="1:28" x14ac:dyDescent="0.3">
      <c r="O53" s="17"/>
      <c r="Q53" s="904"/>
      <c r="R53" s="904"/>
      <c r="S53" s="904"/>
      <c r="Y53" s="80"/>
    </row>
    <row r="54" spans="1:28" x14ac:dyDescent="0.3">
      <c r="O54" s="17"/>
      <c r="Q54" s="904"/>
      <c r="R54" s="904"/>
      <c r="S54" s="904"/>
      <c r="Y54" s="80"/>
    </row>
    <row r="55" spans="1:28" x14ac:dyDescent="0.3">
      <c r="O55" s="17"/>
      <c r="Q55" s="904"/>
      <c r="R55" s="904"/>
      <c r="S55" s="904"/>
      <c r="Y55" s="80"/>
    </row>
    <row r="56" spans="1:28" x14ac:dyDescent="0.3">
      <c r="O56" s="17"/>
      <c r="Q56" s="904"/>
      <c r="R56" s="904"/>
      <c r="S56" s="904"/>
      <c r="Y56" s="80"/>
    </row>
    <row r="57" spans="1:28" x14ac:dyDescent="0.3">
      <c r="J57" s="902"/>
      <c r="O57" s="17"/>
      <c r="Q57" s="904"/>
      <c r="R57" s="904"/>
      <c r="S57" s="904"/>
      <c r="Y57" s="80"/>
    </row>
    <row r="58" spans="1:28" x14ac:dyDescent="0.3">
      <c r="J58" s="902"/>
      <c r="O58" s="17"/>
      <c r="Q58" s="904"/>
      <c r="R58" s="904"/>
      <c r="S58" s="904"/>
      <c r="Y58" s="80"/>
    </row>
    <row r="59" spans="1:28" x14ac:dyDescent="0.3">
      <c r="J59" s="902"/>
      <c r="O59" s="17"/>
      <c r="Q59" s="904"/>
      <c r="R59" s="904"/>
      <c r="S59" s="904"/>
      <c r="Y59" s="80"/>
    </row>
    <row r="60" spans="1:28" x14ac:dyDescent="0.3">
      <c r="J60" s="902"/>
      <c r="O60" s="17"/>
      <c r="Q60" s="904"/>
      <c r="R60" s="904"/>
      <c r="S60" s="904"/>
      <c r="Y60" s="80"/>
    </row>
    <row r="61" spans="1:28" x14ac:dyDescent="0.3">
      <c r="J61" s="902"/>
      <c r="O61" s="17"/>
      <c r="Q61" s="904"/>
      <c r="R61" s="904"/>
      <c r="S61" s="904"/>
      <c r="Y61" s="80"/>
    </row>
    <row r="62" spans="1:28" x14ac:dyDescent="0.3">
      <c r="J62" s="902"/>
      <c r="O62" s="17"/>
      <c r="Q62" s="904"/>
      <c r="R62" s="904"/>
      <c r="S62" s="904"/>
      <c r="Y62" s="80"/>
    </row>
    <row r="63" spans="1:28" x14ac:dyDescent="0.3">
      <c r="J63" s="902"/>
      <c r="O63" s="17"/>
      <c r="Q63" s="904"/>
      <c r="R63" s="904"/>
      <c r="S63" s="904"/>
      <c r="Y63" s="80"/>
    </row>
    <row r="64" spans="1:28" x14ac:dyDescent="0.3">
      <c r="J64" s="902"/>
      <c r="O64" s="17"/>
      <c r="Q64" s="904"/>
      <c r="R64" s="904"/>
      <c r="S64" s="904"/>
      <c r="Y64" s="80"/>
    </row>
    <row r="65" spans="10:25" x14ac:dyDescent="0.3">
      <c r="J65" s="902"/>
      <c r="O65" s="17"/>
      <c r="Q65" s="904"/>
      <c r="R65" s="904"/>
      <c r="S65" s="904"/>
      <c r="Y65" s="80"/>
    </row>
    <row r="66" spans="10:25" x14ac:dyDescent="0.3">
      <c r="J66" s="902"/>
      <c r="O66" s="17"/>
      <c r="Q66" s="904"/>
      <c r="R66" s="904"/>
      <c r="S66" s="904"/>
      <c r="Y66" s="80"/>
    </row>
    <row r="67" spans="10:25" x14ac:dyDescent="0.3">
      <c r="J67" s="902"/>
      <c r="O67" s="17"/>
      <c r="Q67" s="904"/>
      <c r="R67" s="904"/>
      <c r="S67" s="904"/>
      <c r="Y67" s="80"/>
    </row>
    <row r="68" spans="10:25" x14ac:dyDescent="0.3">
      <c r="J68" s="902"/>
      <c r="O68" s="17"/>
      <c r="Q68" s="904"/>
      <c r="R68" s="904"/>
      <c r="S68" s="904"/>
      <c r="Y68" s="80"/>
    </row>
    <row r="69" spans="10:25" x14ac:dyDescent="0.3">
      <c r="J69" s="902"/>
      <c r="O69" s="17"/>
      <c r="Q69" s="904"/>
      <c r="R69" s="904"/>
      <c r="S69" s="904"/>
      <c r="Y69" s="80"/>
    </row>
    <row r="70" spans="10:25" x14ac:dyDescent="0.3">
      <c r="J70" s="902"/>
      <c r="O70" s="17"/>
      <c r="Q70" s="904"/>
      <c r="R70" s="904"/>
      <c r="S70" s="904"/>
      <c r="Y70" s="80"/>
    </row>
    <row r="71" spans="10:25" x14ac:dyDescent="0.3">
      <c r="J71" s="902"/>
      <c r="O71" s="17"/>
      <c r="Q71" s="904"/>
      <c r="R71" s="904"/>
      <c r="S71" s="904"/>
      <c r="Y71" s="80"/>
    </row>
    <row r="72" spans="10:25" x14ac:dyDescent="0.3">
      <c r="J72" s="902"/>
      <c r="O72" s="17"/>
      <c r="Q72" s="904"/>
      <c r="R72" s="904"/>
      <c r="S72" s="904"/>
      <c r="Y72" s="80"/>
    </row>
    <row r="73" spans="10:25" x14ac:dyDescent="0.3">
      <c r="J73" s="902"/>
      <c r="O73" s="17"/>
      <c r="Q73" s="904"/>
      <c r="R73" s="904"/>
      <c r="S73" s="904"/>
      <c r="Y73" s="80"/>
    </row>
    <row r="74" spans="10:25" x14ac:dyDescent="0.3">
      <c r="J74" s="902"/>
      <c r="O74" s="17"/>
      <c r="Q74" s="904"/>
      <c r="R74" s="904"/>
      <c r="S74" s="904"/>
      <c r="Y74" s="80"/>
    </row>
    <row r="75" spans="10:25" x14ac:dyDescent="0.3">
      <c r="J75" s="902"/>
      <c r="O75" s="17"/>
      <c r="Q75" s="904"/>
      <c r="R75" s="904"/>
      <c r="S75" s="904"/>
      <c r="Y75" s="80"/>
    </row>
    <row r="76" spans="10:25" x14ac:dyDescent="0.3">
      <c r="J76" s="902"/>
      <c r="O76" s="17"/>
      <c r="Q76" s="904"/>
      <c r="R76" s="904"/>
      <c r="S76" s="904"/>
      <c r="Y76" s="80"/>
    </row>
    <row r="77" spans="10:25" x14ac:dyDescent="0.3">
      <c r="J77" s="902"/>
      <c r="O77" s="17"/>
      <c r="Q77" s="904"/>
      <c r="R77" s="904"/>
      <c r="S77" s="904"/>
      <c r="Y77" s="80"/>
    </row>
    <row r="78" spans="10:25" x14ac:dyDescent="0.3">
      <c r="J78" s="902"/>
      <c r="O78" s="17"/>
      <c r="Q78" s="904"/>
      <c r="R78" s="904"/>
      <c r="S78" s="904"/>
      <c r="Y78" s="80"/>
    </row>
    <row r="79" spans="10:25" x14ac:dyDescent="0.3">
      <c r="J79" s="902"/>
      <c r="O79" s="17"/>
      <c r="Q79" s="904"/>
      <c r="R79" s="904"/>
      <c r="S79" s="904"/>
      <c r="Y79" s="80"/>
    </row>
    <row r="80" spans="10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651" priority="29" operator="greaterThan">
      <formula>0</formula>
    </cfRule>
    <cfRule type="cellIs" dxfId="650" priority="30" operator="lessThan">
      <formula>0</formula>
    </cfRule>
  </conditionalFormatting>
  <conditionalFormatting sqref="H16:I16">
    <cfRule type="expression" dxfId="649" priority="6">
      <formula>$I$16&gt;$I$15</formula>
    </cfRule>
    <cfRule type="cellIs" dxfId="648" priority="27" operator="greaterThan">
      <formula>0</formula>
    </cfRule>
    <cfRule type="cellIs" dxfId="647" priority="28" operator="lessThan">
      <formula>0</formula>
    </cfRule>
  </conditionalFormatting>
  <conditionalFormatting sqref="C16">
    <cfRule type="cellIs" dxfId="646" priority="26" operator="lessThan">
      <formula>"-"</formula>
    </cfRule>
  </conditionalFormatting>
  <conditionalFormatting sqref="A8">
    <cfRule type="cellIs" dxfId="645" priority="7" operator="lessThan">
      <formula>0</formula>
    </cfRule>
    <cfRule type="cellIs" dxfId="644" priority="8" operator="greaterThan">
      <formula>0</formula>
    </cfRule>
  </conditionalFormatting>
  <conditionalFormatting sqref="C9 C12">
    <cfRule type="cellIs" dxfId="643" priority="4" operator="lessThan">
      <formula>0.5</formula>
    </cfRule>
    <cfRule type="cellIs" dxfId="642" priority="5" operator="greaterThan">
      <formula>0.5</formula>
    </cfRule>
  </conditionalFormatting>
  <conditionalFormatting sqref="F9 F12">
    <cfRule type="cellIs" dxfId="641" priority="2" operator="lessThan">
      <formula>0.5</formula>
    </cfRule>
    <cfRule type="cellIs" dxfId="640" priority="3" operator="greaterThan">
      <formula>0.5</formula>
    </cfRule>
  </conditionalFormatting>
  <conditionalFormatting sqref="A6">
    <cfRule type="expression" dxfId="639" priority="1825">
      <formula>AND($A$6&gt;0,$A$6&lt;$E$19)</formula>
    </cfRule>
    <cfRule type="containsText" dxfId="638" priority="1826" operator="containsText" text="n/a">
      <formula>NOT(ISERROR(SEARCH("n/a",A6)))</formula>
    </cfRule>
  </conditionalFormatting>
  <conditionalFormatting sqref="D17:D19">
    <cfRule type="expression" dxfId="637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V1" zoomScale="80" zoomScaleNormal="80" workbookViewId="0">
      <pane ySplit="1" topLeftCell="A2" activePane="bottomLeft" state="frozen"/>
      <selection pane="bottomLeft" activeCell="X32" sqref="X32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24" t="s">
        <v>2270</v>
      </c>
      <c r="Q1" s="1225"/>
      <c r="R1" s="1225"/>
      <c r="S1" s="1226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27" t="s">
        <v>2447</v>
      </c>
      <c r="AE1" s="1228"/>
      <c r="AF1" s="1228"/>
      <c r="AG1" s="1228"/>
      <c r="AH1" s="1231" t="s">
        <v>2445</v>
      </c>
      <c r="AI1" s="1231"/>
      <c r="AJ1" s="1132"/>
      <c r="AK1" s="1132"/>
      <c r="AL1" s="1233" t="s">
        <v>2446</v>
      </c>
      <c r="AM1" s="1234"/>
      <c r="AN1" s="1232" t="s">
        <v>2308</v>
      </c>
      <c r="AO1" s="1232"/>
      <c r="AP1" s="885" t="s">
        <v>2304</v>
      </c>
      <c r="AQ1" s="1229" t="s">
        <v>2306</v>
      </c>
      <c r="AR1" s="1230"/>
      <c r="AS1" s="1230"/>
      <c r="AT1" s="1221" t="s">
        <v>2271</v>
      </c>
      <c r="AU1" s="1222"/>
      <c r="AV1" s="1222"/>
      <c r="AW1" s="1223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06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05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+10,011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14.3%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150/10,800=35,072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5" t="str">
        <f ca="1">TRUNC(TabCalc[[#This Row],[L_B1p]],2)&amp;"x"&amp;TabCalc[[#This Row],[L_B1n]]&amp;"=   "&amp;TEXT(TabCalc[[#This Row],[ReverseS1]],"#,#0")&amp;"$"</f>
        <v>-196.66x300=   11,223$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1,116$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3" s="245" t="str">
        <f ca="1">IFERROR(TRUNC(TabCalc[[#This Row],[L_S1p]],2)&amp;"x"&amp;TabCalc[[#This Row],[L_S1n]]&amp;"=   "&amp;TEXT(TabCalc[[#This Row],[ReverseB1]],"#,#0"),"")</f>
        <v>244.12x300=   3,015</v>
      </c>
      <c r="J3" s="318">
        <f ca="1">_xlfn.XLOOKUP(TabTRADER[[#This Row],[ClickTick]],TabCalc[Ticker],ListGravity)</f>
        <v>1.0062183534840006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1357606</v>
      </c>
      <c r="M3" s="346">
        <f ca="1">_xlfn.XLOOKUP(TabTRADER[[#This Row],[ClickTick]],TabCalc[Ticker],TabCalc[Agiotage])</f>
        <v>1.0247636500725472</v>
      </c>
      <c r="N3" s="347" cm="1">
        <f t="array" aca="1" ref="N3" ca="1">_xlfn.XLOOKUP(TabTRADER[[#This Row],[ClickTick]],ListTickers,Tab2RSIConventional[RSIConv20])</f>
        <v>60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0.16626806178375689</v>
      </c>
      <c r="S3" s="743">
        <f ca="1">_xlfn.XLOOKUP(TabTRADER[[#This Row],[ClickTick]],SORTING!AG$3:AG$95,SORTING!AH$3:AH$95)*(1-Commission)</f>
        <v>9985.9725000000017</v>
      </c>
      <c r="T3" s="866">
        <f ca="1">_xlfn.XLOOKUP(TabTRADER[[#This Row],[ClickTick]],TabCalc[Ticker],TabCalc[Agiotage])</f>
        <v>1.0247636500725472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52,380&lt;=52,380 / 1.8%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234.07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1.7562999999999999E-2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^774/2,528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" s="832" t="str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" s="834" t="str" cm="1">
        <f t="array" aca="1" ref="AG3" ca="1">_xlfn.IFS(  TabTRADER[[#This Row],[Traps]]=RePurchaseGain,TabTRADER[[#This Row],[Rev_Buy]],   TabTRADER[[#This Row],[Traps]]=ReSaleGain,TabTRADER[[#This Row],[Rev_Sale]], TRUE,"")</f>
        <v/>
      </c>
      <c r="AH3" s="1076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1.3392681676421577E-2</v>
      </c>
      <c r="AI3" s="918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1113.2099999999996</v>
      </c>
      <c r="AJ3" s="1144">
        <f ca="1">_xlfn.XLOOKUP(TabTRADER[[#This Row],[ClickTick]],TabCalc[Ticker],TabCalc[Ann%RevLB])</f>
        <v>0.74820627802690609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0.16363216823451465</v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418924.87445274711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300x33.34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0.16571683781392837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-0.1449642701401791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-1.6149337963967871E-2</v>
      </c>
      <c r="AW3" s="796">
        <f ca="1">TabTRADER[[#This Row],[L_Sn]]*(TabTRADER[[#This Row],[M]]-TabTRADER[[#This Row],[L_Sp]])*(1-Commission)*TabTRADER[[#This Row],[Scale]]</f>
        <v>1113.2099999999996</v>
      </c>
      <c r="AX3" s="754">
        <f ca="1">TabTRADER[[#This Row],[L_Sn]]*(TabTRADER[[#This Row],[Agiotage]]-TabTRADER[[#This Row],[M]])/(TabTRADER[[#This Row],[L_Bn]]*TabTRADER[[#This Row],[M]])</f>
        <v>-0.9956219778268357</v>
      </c>
      <c r="AY3" s="690">
        <f ca="1">IFERROR((TabTRADER[[#This Row],[M]]-TabTRADER[[#This Row],[A]])/TabTRADER[[#This Row],[A]],0)</f>
        <v>0.16613216823451465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359,243$</v>
      </c>
      <c r="BA3" s="744">
        <f ca="1">_xlfn.XLOOKUP(TabTRADER[[#This Row],[ClickTick]],TabCalc[[#This Row],[Ticker]],TabCalc[[#This Row],[GL]])*(1-Commission)</f>
        <v>771656.41402500018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1.5892681676421577E-2</v>
      </c>
      <c r="BG3" s="737">
        <f ca="1">TabTRADER[[#This Row],[L_Sn]]*TabTRADER[[#This Row],[L_Sp]]+TabTRADER[[#This Row],[SellMore]]</f>
        <v>69305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-0.79839571712475144</v>
      </c>
      <c r="BL3" s="749">
        <f ca="1">(TabTRADER[[#This Row],[M]]-TabTRADER[[#This Row],[Agiotage]])/(TabTRADER[[#This Row],[M]]-TabTRADER[[#This Row],[A]])-1</f>
        <v>5.9885731829263857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+266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8.9%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4,902</v>
      </c>
      <c r="F4" s="245" t="str">
        <f ca="1">TRUNC(TabCalc[[#This Row],[L_B1p]],2)&amp;"x"&amp;TabCalc[[#This Row],[L_B1n]]&amp;"=   "&amp;TEXT(TabCalc[[#This Row],[ReverseS1]],"#,#0")&amp;"$"</f>
        <v>-13.02x2800=   7,364$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-3,050$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6.5% = 4,902</v>
      </c>
      <c r="I4" s="245" t="str">
        <f ca="1">IFERROR(TRUNC(TabCalc[[#This Row],[L_S1p]],2)&amp;"x"&amp;TabCalc[[#This Row],[L_S1n]]&amp;"=   "&amp;TEXT(TabCalc[[#This Row],[ReverseB1]],"#,#0"),"")</f>
        <v>14.52x6990=   -7,899</v>
      </c>
      <c r="J4" s="318">
        <f ca="1">_xlfn.XLOOKUP(TabTRADER[[#This Row],[ClickTick]],TabCalc[Ticker],ListGravity)</f>
        <v>1.3205539936102235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1.0726240674667531</v>
      </c>
      <c r="N4" s="347" cm="1">
        <f t="array" aca="1" ref="N4" ca="1">_xlfn.XLOOKUP(TabTRADER[[#This Row],[ClickTick]],ListTickers,Tab2RSIConventional[RSIConv20])</f>
        <v>51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9.8245614035087747E-2</v>
      </c>
      <c r="S4" s="743">
        <f ca="1">_xlfn.XLOOKUP(TabTRADER[[#This Row],[ClickTick]],SORTING!AG$3:AG$95,SORTING!AH$3:AH$95)*(1-Commission)</f>
        <v>265.33500000000009</v>
      </c>
      <c r="T4" s="866">
        <f ca="1">_xlfn.XLOOKUP(TabTRADER[[#This Row],[ClickTick]],TabCalc[Ticker],TabCalc[Agiotage])</f>
        <v>1.0726240674667531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-180&lt;=-180 / -0.1%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15.65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-6.3860000000000002E-4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Pile^47/94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265.33500000000009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9.8245614035087747E-2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0.62049861495844894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18487.239573870607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-0.16734020679446229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6.118776244751057E-2</v>
      </c>
      <c r="AW4" s="796">
        <f ca="1">TabTRADER[[#This Row],[L_Sn]]*(TabTRADER[[#This Row],[M]]-TabTRADER[[#This Row],[L_Sp]])*(1-Commission)*TabTRADER[[#This Row],[Scale]]</f>
        <v>-3042.1755000000039</v>
      </c>
      <c r="AX4" s="754">
        <f ca="1">TabTRADER[[#This Row],[L_Sn]]*(TabTRADER[[#This Row],[Agiotage]]-TabTRADER[[#This Row],[M]])/(TabTRADER[[#This Row],[L_Bn]]*TabTRADER[[#This Row],[M]])</f>
        <v>-14.658266029350735</v>
      </c>
      <c r="AY4" s="690">
        <f ca="1">IFERROR((TabTRADER[[#This Row],[M]]-TabTRADER[[#This Row],[A]])/TabTRADER[[#This Row],[A]],0)</f>
        <v>0.19737564970862306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15,440$</v>
      </c>
      <c r="BA4" s="744">
        <f ca="1">_xlfn.XLOOKUP(TabTRADER[[#This Row],[ClickTick]],TabCalc[[#This Row],[Ticker]],TabCalc[[#This Row],[GL]])*(1-Commission)</f>
        <v>47337.454744545015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-7.3049392214868392E-3</v>
      </c>
      <c r="BL4" s="749">
        <f ca="1">(TabTRADER[[#This Row],[M]]-TabTRADER[[#This Row],[Agiotage]])/(TabTRADER[[#This Row],[M]]-TabTRADER[[#This Row],[A]])-1</f>
        <v>4.6506949308191112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+1,940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19.4%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819,672</v>
      </c>
      <c r="F5" s="245" t="str">
        <f ca="1">TRUNC(TabCalc[[#This Row],[L_B1p]],2)&amp;"x"&amp;TabCalc[[#This Row],[L_B1n]]&amp;"=   "&amp;TEXT(TabCalc[[#This Row],[ReverseS1]],"#,#0")&amp;"$"</f>
        <v>-40.4x23590=   2,595$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-122$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8,197</v>
      </c>
      <c r="I5" s="245" t="str">
        <f ca="1">IFERROR(TRUNC(TabCalc[[#This Row],[L_S1p]],2)&amp;"x"&amp;TabCalc[[#This Row],[L_S1n]]&amp;"=   "&amp;TEXT(TabCalc[[#This Row],[ReverseB1]],"#,#0"),"")</f>
        <v>53.62x90000=   1,998</v>
      </c>
      <c r="J5" s="318">
        <f ca="1">_xlfn.XLOOKUP(TabTRADER[[#This Row],[ClickTick]],TabCalc[Ticker],ListGravity)</f>
        <v>1.8494163424124515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195320</v>
      </c>
      <c r="M5" s="346">
        <f ca="1">_xlfn.XLOOKUP(TabTRADER[[#This Row],[ClickTick]],TabCalc[Ticker],TabCalc[Agiotage])</f>
        <v>0.61019444274059986</v>
      </c>
      <c r="N5" s="347" cm="1">
        <f t="array" aca="1" ref="N5" ca="1">_xlfn.XLOOKUP(TabTRADER[[#This Row],[ClickTick]],ListTickers,Tab2RSIConventional[RSIConv20])</f>
        <v>43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0.24141785376242603</v>
      </c>
      <c r="S5" s="743">
        <f ca="1">_xlfn.XLOOKUP(TabTRADER[[#This Row],[ClickTick]],SORTING!AG$3:AG$95,SORTING!AH$3:AH$95)*(1-Commission)</f>
        <v>1935.3207650175002</v>
      </c>
      <c r="T5" s="866">
        <f ca="1">_xlfn.XLOOKUP(TabTRADER[[#This Row],[ClickTick]],TabCalc[Ticker],TabCalc[Agiotage])</f>
        <v>0.61019444274059986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14,040&lt;=14,040 / 0.4%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51.4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3.9060000000000002E-3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^76/401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121.69499999999989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1.1728513747356267E-2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0.50529318229344988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-15477.580265017501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-0.6%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4.0159404603759628E-2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-4.12019135812631E-2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1.1728513747356267E-2</v>
      </c>
      <c r="AW5" s="796">
        <f ca="1">TabTRADER[[#This Row],[L_Sn]]*(TabTRADER[[#This Row],[M]]-TabTRADER[[#This Row],[L_Sp]])*(1-Commission)*TabTRADER[[#This Row],[Scale]]</f>
        <v>-121.69499999999989</v>
      </c>
      <c r="AX5" s="754">
        <f ca="1">TabTRADER[[#This Row],[L_Sn]]*(TabTRADER[[#This Row],[Agiotage]]-TabTRADER[[#This Row],[M]])/(TabTRADER[[#This Row],[L_Bn]]*TabTRADER[[#This Row],[M]])</f>
        <v>-1.0181643614499205</v>
      </c>
      <c r="AY5" s="690">
        <f ca="1">IFERROR((TabTRADER[[#This Row],[M]]-TabTRADER[[#This Row],[A]])/TabTRADER[[#This Row],[A]],0)</f>
        <v>4.0260054740611152E-2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15,478$</v>
      </c>
      <c r="BA5" s="744">
        <f ca="1">_xlfn.XLOOKUP(TabTRADER[[#This Row],[ClickTick]],TabCalc[[#This Row],[Ticker]],TabCalc[[#This Row],[GL]])*(1-Commission)</f>
        <v>76307.716782517498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-2.6046054131927897E-3</v>
      </c>
      <c r="BL5" s="749">
        <f ca="1">(TabTRADER[[#This Row],[M]]-TabTRADER[[#This Row],[Agiotage]])/(TabTRADER[[#This Row],[M]]-TabTRADER[[#This Row],[A]])-1</f>
        <v>24.531774048132188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+26,260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5.8%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381/12,200=86,881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821</v>
      </c>
      <c r="F6" s="245" t="str">
        <f ca="1">TRUNC(TabCalc[[#This Row],[L_B1p]],2)&amp;"x"&amp;TabCalc[[#This Row],[L_B1n]]&amp;"=   "&amp;TEXT(TabCalc[[#This Row],[ReverseS1]],"#,#0")&amp;"$"</f>
        <v>-212.98x500=   7,585$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-3,045$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821</v>
      </c>
      <c r="I6" s="245" t="str">
        <f ca="1">IFERROR(TRUNC(TabCalc[[#This Row],[L_S1p]],2)&amp;"x"&amp;TabCalc[[#This Row],[L_S1n]]&amp;"=   "&amp;TEXT(TabCalc[[#This Row],[ReverseB1]],"#,#0"),"")</f>
        <v>223.01x500=   -2,570</v>
      </c>
      <c r="J6" s="318">
        <f ca="1">_xlfn.XLOOKUP(TabTRADER[[#This Row],[ClickTick]],TabCalc[Ticker],ListGravity)</f>
        <v>1.153540784571554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958230</v>
      </c>
      <c r="M6" s="346">
        <f ca="1">_xlfn.XLOOKUP(TabTRADER[[#This Row],[ClickTick]],TabCalc[Ticker],TabCalc[Agiotage])</f>
        <v>1.0710485466714732</v>
      </c>
      <c r="N6" s="347" cm="1">
        <f t="array" aca="1" ref="N6" ca="1">_xlfn.XLOOKUP(TabTRADER[[#This Row],[ClickTick]],ListTickers,Tab2RSIConventional[RSIConv20])</f>
        <v>51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6.1064087061668659E-2</v>
      </c>
      <c r="S6" s="743">
        <f ca="1">_xlfn.XLOOKUP(TabTRADER[[#This Row],[ClickTick]],SORTING!AG$3:AG$95,SORTING!AH$3:AH$95)*(1-Commission)</f>
        <v>26194.349999999995</v>
      </c>
      <c r="T6" s="866">
        <f ca="1">_xlfn.XLOOKUP(TabTRADER[[#This Row],[ClickTick]],TabCalc[Ticker],TabCalc[Agiotage])</f>
        <v>1.0710485466714732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-26,840&lt;=-26,840 / -0.8%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228.15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-7.8279999999999999E-3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^777/2,783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26194.349999999995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6.1064087061668659E-2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0.52340646052858852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348020.94181659422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-0.11388479501909528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2.5998975409836079E-2</v>
      </c>
      <c r="AW6" s="796">
        <f ca="1">TabTRADER[[#This Row],[L_Sn]]*(TabTRADER[[#This Row],[M]]-TabTRADER[[#This Row],[L_Sp]])*(1-Commission)*TabTRADER[[#This Row],[Scale]]</f>
        <v>-3037.3875000000021</v>
      </c>
      <c r="AX6" s="754">
        <f ca="1">TabTRADER[[#This Row],[L_Sn]]*(TabTRADER[[#This Row],[Agiotage]]-TabTRADER[[#This Row],[M]])/(TabTRADER[[#This Row],[L_Bn]]*TabTRADER[[#This Row],[M]])</f>
        <v>-0.24882637678427411</v>
      </c>
      <c r="AY6" s="690">
        <f ca="1">IFERROR((TabTRADER[[#This Row],[M]]-TabTRADER[[#This Row],[A]])/TabTRADER[[#This Row],[A]],0)</f>
        <v>0.12534648787771846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309,257$</v>
      </c>
      <c r="BA6" s="744">
        <f ca="1">_xlfn.XLOOKUP(TabTRADER[[#This Row],[ClickTick]],TabCalc[[#This Row],[Ticker]],TabCalc[[#This Row],[GL]])*(1-Commission)</f>
        <v>774820.87305000005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-0.4727709317143069</v>
      </c>
      <c r="BL6" s="749">
        <f ca="1">(TabTRADER[[#This Row],[M]]-TabTRADER[[#This Row],[Agiotage]])/(TabTRADER[[#This Row],[M]]-TabTRADER[[#This Row],[A]])-1</f>
        <v>7.9357394513898054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-600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1.7228426966292136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72935.5</v>
      </c>
      <c r="M7" s="346">
        <f ca="1">_xlfn.XLOOKUP(TabTRADER[[#This Row],[ClickTick]],TabCalc[Ticker],TabCalc[Agiotage])</f>
        <v>2.2413793103448276E-2</v>
      </c>
      <c r="N7" s="347" cm="1">
        <f t="array" aca="1" ref="N7" ca="1">_xlfn.XLOOKUP(TabTRADER[[#This Row],[ClickTick]],ListTickers,Tab2RSIConventional[RSIConv20])</f>
        <v>36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-4.3010752688172081E-2</v>
      </c>
      <c r="S7" s="743">
        <f ca="1">_xlfn.XLOOKUP(TabTRADER[[#This Row],[ClickTick]],SORTING!AG$3:AG$95,SORTING!AH$3:AH$95)*(1-Commission)</f>
        <v>-598.50000000000057</v>
      </c>
      <c r="T7" s="866">
        <f ca="1">_xlfn.XLOOKUP(TabTRADER[[#This Row],[ClickTick]],TabCalc[Ticker],TabCalc[Agiotage])</f>
        <v>2.2413793103448276E-2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5,060&lt;=5,060 / 0.2%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0.89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2.2520000000000001E-3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Pile-701/2,252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4.2443820224719139E-2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-8.6988039144617682E-2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4.4943820224719142E-2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598.50000000000057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0.30869644769006388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698969.23866055766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-0.2367444307202809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0.30869644769006388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-0.23733777515817633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-698,969$</v>
      </c>
      <c r="BA7" s="744">
        <f ca="1">_xlfn.XLOOKUP(TabTRADER[[#This Row],[ClickTick]],TabCalc[[#This Row],[Ticker]],TabCalc[[#This Row],[GL]])*(1-Commission)</f>
        <v>-698969.23866055754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AMY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4.4943820224719142E-2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-4.1324777967130988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+33,800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9.8%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74/5,300=51,021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45,250$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4,520$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8" s="245" t="str">
        <f ca="1">IFERROR(TRUNC(TabCalc[[#This Row],[L_S1p]],2)&amp;"x"&amp;TabCalc[[#This Row],[L_S1n]]&amp;"=   "&amp;TEXT(TabCalc[[#This Row],[ReverseB1]],"#,#0"),"")</f>
        <v>646.2x500=   -21,800</v>
      </c>
      <c r="J8" s="318">
        <f ca="1">_xlfn.XLOOKUP(TabTRADER[[#This Row],[ClickTick]],TabCalc[Ticker],ListGravity)</f>
        <v>1.0988692374601334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3311040</v>
      </c>
      <c r="M8" s="346">
        <f ca="1">_xlfn.XLOOKUP(TabTRADER[[#This Row],[ClickTick]],TabCalc[Ticker],TabCalc[Agiotage])</f>
        <v>0.79148683855897939</v>
      </c>
      <c r="N8" s="347" cm="1">
        <f t="array" aca="1" ref="N8" ca="1">_xlfn.XLOOKUP(TabTRADER[[#This Row],[ClickTick]],ListTickers,Tab2RSIConventional[RSIConv20])</f>
        <v>74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0.10864673738347783</v>
      </c>
      <c r="S8" s="743">
        <f ca="1">_xlfn.XLOOKUP(TabTRADER[[#This Row],[ClickTick]],SORTING!AG$3:AG$95,SORTING!AH$3:AH$95)*(1-Commission)</f>
        <v>33715.499999999956</v>
      </c>
      <c r="T8" s="866">
        <f ca="1">_xlfn.XLOOKUP(TabTRADER[[#This Row],[ClickTick]],TabCalc[Ticker],TabCalc[Agiotage])</f>
        <v>0.79148683855897939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9,540&lt;=9,540 / 0.6%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689.8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5.5389999999999997E-3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-42/3,656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3.0263119744853451E-2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4508.6999999999825</v>
      </c>
      <c r="AJ8" s="1144">
        <f ca="1">_xlfn.XLOOKUP(TabTRADER[[#This Row],[ClickTick]],TabCalc[Ticker],TabCalc[Ann%RevLB])</f>
        <v>3.9112825458052014</v>
      </c>
      <c r="AK8" s="1144">
        <f ca="1">_xlfn.XLOOKUP(TabTRADER[[#This Row],[ClickTick]],TabCalc[Ticker],TabCalc[Up20])</f>
        <v>0.61904761904761907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5.1735480738980447E-2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197785.95929423597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500x35.48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5.4099892037133002E-2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-5.3945319124493296E-2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-3.3872901678656933E-2</v>
      </c>
      <c r="AW8" s="796">
        <f ca="1">TabTRADER[[#This Row],[L_Sn]]*(TabTRADER[[#This Row],[M]]-TabTRADER[[#This Row],[L_Sp]])*(1-Commission)*TabTRADER[[#This Row],[Scale]]</f>
        <v>4508.6999999999825</v>
      </c>
      <c r="AX8" s="754">
        <f ca="1">TabTRADER[[#This Row],[L_Sn]]*(TabTRADER[[#This Row],[Agiotage]]-TabTRADER[[#This Row],[M]])/(TabTRADER[[#This Row],[L_Bn]]*TabTRADER[[#This Row],[M]])</f>
        <v>-0.39954103401649227</v>
      </c>
      <c r="AY8" s="690">
        <f ca="1">IFERROR((TabTRADER[[#This Row],[M]]-TabTRADER[[#This Row],[A]])/TabTRADER[[#This Row],[A]],0)</f>
        <v>5.4235480738980449E-2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187,611$</v>
      </c>
      <c r="BA8" s="744">
        <f ca="1">_xlfn.XLOOKUP(TabTRADER[[#This Row],[ClickTick]],TabCalc[[#This Row],[Ticker]],TabCalc[[#This Row],[GL]])*(1-Commission)</f>
        <v>-42296.483775000692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3.276311974485345E-2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-3.5750441720640804</v>
      </c>
      <c r="BL8" s="749">
        <f ca="1">(TabTRADER[[#This Row],[M]]-TabTRADER[[#This Row],[Agiotage]])/(TabTRADER[[#This Row],[M]]-TabTRADER[[#This Row],[A]])-1</f>
        <v>18.41581084615478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+9,720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12.2%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514/1,000=40,926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1,512$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100$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" s="245" t="str">
        <f ca="1">IFERROR(TRUNC(TabCalc[[#This Row],[L_S1p]],2)&amp;"x"&amp;TabCalc[[#This Row],[L_S1n]]&amp;"=   "&amp;TEXT(TabCalc[[#This Row],[ReverseB1]],"#,#0"),"")</f>
        <v>72.54x2000=   -14,040</v>
      </c>
      <c r="J9" s="318">
        <f ca="1">_xlfn.XLOOKUP(TabTRADER[[#This Row],[ClickTick]],TabCalc[Ticker],ListGravity)</f>
        <v>1.0969079939668174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1.2773783583068079</v>
      </c>
      <c r="N9" s="347" cm="1">
        <f t="array" aca="1" ref="N9" ca="1">_xlfn.XLOOKUP(TabTRADER[[#This Row],[ClickTick]],ListTickers,Tab2RSIConventional[RSIConv20])</f>
        <v>45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0.13917525773195874</v>
      </c>
      <c r="S9" s="743">
        <f ca="1">_xlfn.XLOOKUP(TabTRADER[[#This Row],[ClickTick]],SORTING!AG$3:AG$95,SORTING!AH$3:AH$95)*(1-Commission)</f>
        <v>9695.6999999999989</v>
      </c>
      <c r="T9" s="866">
        <f ca="1">_xlfn.XLOOKUP(TabTRADER[[#This Row],[ClickTick]],TabCalc[Ticker],TabCalc[Agiotage])</f>
        <v>1.2773783583068079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-1,260&lt;=-1,260 / -1.9%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79.56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-1.8988999999999999E-2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^145/80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-1.8715434891905837E-3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49.874999999997165</v>
      </c>
      <c r="AJ9" s="1144">
        <f ca="1">_xlfn.XLOOKUP(TabTRADER[[#This Row],[ClickTick]],TabCalc[Ticker],TabCalc[Ann%RevLB])</f>
        <v>0.59646539027982315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0.13667525773195874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11045.101546391752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1,000x9.72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0.13882731958762884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-0.12467194570135745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-6.2885171676515096E-4</v>
      </c>
      <c r="AW9" s="796">
        <f ca="1">TabTRADER[[#This Row],[L_Sn]]*(TabTRADER[[#This Row],[M]]-TabTRADER[[#This Row],[L_Sp]])*(1-Commission)*TabTRADER[[#This Row],[Scale]]</f>
        <v>99.74999999999433</v>
      </c>
      <c r="AX9" s="754">
        <f ca="1">TabTRADER[[#This Row],[L_Sn]]*(TabTRADER[[#This Row],[Agiotage]]-TabTRADER[[#This Row],[M]])/(TabTRADER[[#This Row],[L_Bn]]*TabTRADER[[#This Row],[M]])</f>
        <v>-0.49197223253955003</v>
      </c>
      <c r="AY9" s="690">
        <f ca="1">IFERROR((TabTRADER[[#This Row],[M]]-TabTRADER[[#This Row],[A]])/TabTRADER[[#This Row],[A]],0)</f>
        <v>0.13917525773195874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9,696$</v>
      </c>
      <c r="BA9" s="744">
        <f ca="1">_xlfn.XLOOKUP(TabTRADER[[#This Row],[ClickTick]],TabCalc[[#This Row],[Ticker]],TabCalc[[#This Row],[GL]])*(1-Commission)</f>
        <v>144422.43899999998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6.2845651080941625E-4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-0.11742393246253981</v>
      </c>
      <c r="BL9" s="749">
        <f ca="1">(TabTRADER[[#This Row],[M]]-TabTRADER[[#This Row],[Agiotage]])/(TabTRADER[[#This Row],[M]]-TabTRADER[[#This Row],[A]])-1</f>
        <v>7.053767658610413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-4,680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-37.7%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2,400$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1,100$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5.3% = 0</v>
      </c>
      <c r="I10" s="245" t="str">
        <f ca="1">IFERROR(TRUNC(TabCalc[[#This Row],[L_S1p]],2)&amp;"x"&amp;TabCalc[[#This Row],[L_S1n]]&amp;"=   "&amp;TEXT(TabCalc[[#This Row],[ReverseB1]],"#,#0"),"")</f>
        <v>2.76x4990=   3,451</v>
      </c>
      <c r="J10" s="318">
        <f ca="1">_xlfn.XLOOKUP(TabTRADER[[#This Row],[ClickTick]],TabCalc[Ticker],ListGravity)</f>
        <v>1.1187584541062803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33120</v>
      </c>
      <c r="M10" s="346">
        <f ca="1">_xlfn.XLOOKUP(TabTRADER[[#This Row],[ClickTick]],TabCalc[Ticker],TabCalc[Agiotage])</f>
        <v>1.0067384855147652</v>
      </c>
      <c r="N10" s="347" cm="1">
        <f t="array" aca="1" ref="N10" ca="1">_xlfn.XLOOKUP(TabTRADER[[#This Row],[ClickTick]],ListTickers,Tab2RSIConventional[RSIConv20])</f>
        <v>48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-0.27368421052631586</v>
      </c>
      <c r="S10" s="743">
        <f ca="1">_xlfn.XLOOKUP(TabTRADER[[#This Row],[ClickTick]],SORTING!AG$3:AG$95,SORTING!AH$3:AH$95)*(1-Commission)</f>
        <v>-4668.300000000002</v>
      </c>
      <c r="T10" s="866">
        <f ca="1">_xlfn.XLOOKUP(TabTRADER[[#This Row],[ClickTick]],TabCalc[Ticker],TabCalc[Agiotage])</f>
        <v>1.0067384855147652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1,300&lt;=1,300 / 1.0%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2.0699999999999998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9.7560000000000008E-3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^2/54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0.37431159420289872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-0.39728353140916822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0.37681159420289873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4668.300000000002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2.7025269416575295E-3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279.30000000000825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-5.1626617375232576E-3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2.7025269416575295E-3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-5.6122448979591774E-2</v>
      </c>
      <c r="AW10" s="796">
        <f ca="1">TabTRADER[[#This Row],[L_Sn]]*(TabTRADER[[#This Row],[M]]-TabTRADER[[#This Row],[L_Sp]])*(1-Commission)*TabTRADER[[#This Row],[Scale]]</f>
        <v>1097.2499999999989</v>
      </c>
      <c r="AX10" s="754">
        <f ca="1">TabTRADER[[#This Row],[L_Sn]]*(TabTRADER[[#This Row],[Agiotage]]-TabTRADER[[#This Row],[M]])/(TabTRADER[[#This Row],[L_Bn]]*TabTRADER[[#This Row],[M]])</f>
        <v>-0.85608817591403774</v>
      </c>
      <c r="AY10" s="690">
        <f ca="1">IFERROR((TabTRADER[[#This Row],[M]]-TabTRADER[[#This Row],[A]])/TabTRADER[[#This Row],[A]],0)</f>
        <v>-5.1756007393716861E-3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-279$</v>
      </c>
      <c r="BA10" s="744">
        <f ca="1">_xlfn.XLOOKUP(TabTRADER[[#This Row],[ClickTick]],TabCalc[[#This Row],[Ticker]],TabCalc[[#This Row],[GL]])*(1-Commission)</f>
        <v>2030.4960374999848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0.37681159420289873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-1.4722082508257094E-4</v>
      </c>
      <c r="BL10" s="749">
        <f ca="1">(TabTRADER[[#This Row],[M]]-TabTRADER[[#This Row],[Agiotage]])/(TabTRADER[[#This Row],[M]]-TabTRADER[[#This Row],[A]])-1</f>
        <v>-99.731426345054601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-121,745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-326.8%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1.0341119817313655E-2</v>
      </c>
      <c r="N11" s="347" cm="1">
        <f t="array" aca="1" ref="N11" ca="1">_xlfn.XLOOKUP(TabTRADER[[#This Row],[ClickTick]],ListTickers,Tab2RSIConventional[RSIConv20])</f>
        <v>31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-0.76571590301581804</v>
      </c>
      <c r="S11" s="743">
        <f ca="1">_xlfn.XLOOKUP(TabTRADER[[#This Row],[ClickTick]],SORTING!AG$3:AG$95,SORTING!AH$3:AH$95)*(1-Commission)</f>
        <v>-121440.6375</v>
      </c>
      <c r="T11" s="866">
        <f ca="1">_xlfn.XLOOKUP(TabTRADER[[#This Row],[ClickTick]],TabCalc[Ticker],TabCalc[Agiotage])</f>
        <v>1.0341119817313655E-2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-250&lt;=-250 / 1.0%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2.98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1.0168999999999999E-2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3.2658221476510065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-5.135203522460776E-2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3.2683221476510065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121440.6375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3.2658221476510065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121440.63750000001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-9.73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-0.76380161325827856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3.2658221476510065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-0.76571590301581804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-121,441$</v>
      </c>
      <c r="BA11" s="744">
        <f ca="1">_xlfn.XLOOKUP(TabTRADER[[#This Row],[ClickTick]],TabCalc[[#This Row],[Ticker]],TabCalc[[#This Row],[GL]])*(1-Commission)</f>
        <v>-121440.63750000001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3.2683221476510065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-1.3049056306401379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+184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36.9%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132$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200$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12" s="245" t="str">
        <f ca="1">IFERROR(TRUNC(TabCalc[[#This Row],[L_S1p]],2)&amp;"x"&amp;TabCalc[[#This Row],[L_S1n]]&amp;"=   "&amp;TEXT(TabCalc[[#This Row],[ReverseB1]],"#,#0"),"")</f>
        <v>82.67x500=   -8,405</v>
      </c>
      <c r="J12" s="318">
        <f ca="1">_xlfn.XLOOKUP(TabTRADER[[#This Row],[ClickTick]],TabCalc[Ticker],ListGravity)</f>
        <v>0.99969843184559715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0.69151353119457981</v>
      </c>
      <c r="N12" s="347" cm="1">
        <f t="array" aca="1" ref="N12" ca="1">_xlfn.XLOOKUP(TabTRADER[[#This Row],[ClickTick]],ListTickers,Tab2RSIConventional[RSIConv20])</f>
        <v>70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0.58533864541832681</v>
      </c>
      <c r="S12" s="743">
        <f ca="1">_xlfn.XLOOKUP(TabTRADER[[#This Row],[ClickTick]],SORTING!AG$3:AG$95,SORTING!AH$3:AH$95)*(1-Commission)</f>
        <v>183.19087500000003</v>
      </c>
      <c r="T12" s="866">
        <f ca="1">_xlfn.XLOOKUP(TabTRADER[[#This Row],[ClickTick]],TabCalc[Ticker],TabCalc[Agiotage])</f>
        <v>0.69151353119457981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4&lt;=4 / 0.7%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99.48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6.6790000000000009E-3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1.8660032167269844E-2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10.49868750000002</v>
      </c>
      <c r="AJ12" s="1144">
        <f ca="1">_xlfn.XLOOKUP(TabTRADER[[#This Row],[ClickTick]],TabCalc[Ticker],TabCalc[Ann%RevLB])</f>
        <v>1.4237967050716058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0.58283864541832686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290.41957362549812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5x36.73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0.58387529880478106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-0.37171994370727784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-2.1617458279845996E-2</v>
      </c>
      <c r="AW12" s="796">
        <f ca="1">TabTRADER[[#This Row],[L_Sn]]*(TabTRADER[[#This Row],[M]]-TabTRADER[[#This Row],[L_Sp]])*(1-Commission)*TabTRADER[[#This Row],[Scale]]</f>
        <v>199.47506250000038</v>
      </c>
      <c r="AX12" s="754">
        <f ca="1">TabTRADER[[#This Row],[L_Sn]]*(TabTRADER[[#This Row],[Agiotage]]-TabTRADER[[#This Row],[M]])/(TabTRADER[[#This Row],[L_Bn]]*TabTRADER[[#This Row],[M]])</f>
        <v>-0.1886792564241358</v>
      </c>
      <c r="AY12" s="690">
        <f ca="1">IFERROR((TabTRADER[[#This Row],[M]]-TabTRADER[[#This Row],[A]])/TabTRADER[[#This Row],[A]],0)</f>
        <v>0.58533864541832681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183$</v>
      </c>
      <c r="BA12" s="744">
        <f ca="1">_xlfn.XLOOKUP(TabTRADER[[#This Row],[ClickTick]],TabCalc[[#This Row],[Ticker]],TabCalc[[#This Row],[GL]])*(1-Commission)</f>
        <v>40395.523087500005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2.1160032167269843E-2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-20.797576098695878</v>
      </c>
      <c r="BL12" s="749">
        <f ca="1">(TabTRADER[[#This Row],[M]]-TabTRADER[[#This Row],[Agiotage]])/(TabTRADER[[#This Row],[M]]-TabTRADER[[#This Row],[A]])-1</f>
        <v>1.6895858009476021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+7,595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11.4%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658/1,000=43,799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2,793</v>
      </c>
      <c r="F13" s="245" t="str">
        <f ca="1">TRUNC(TabCalc[[#This Row],[L_B1p]],2)&amp;"x"&amp;TabCalc[[#This Row],[L_B1n]]&amp;"=   "&amp;TEXT(TabCalc[[#This Row],[ReverseS1]],"#,#0")&amp;"$"</f>
        <v>-59.12x2000=   7,405$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-1,790$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2,793</v>
      </c>
      <c r="I13" s="245" t="str">
        <f ca="1">IFERROR(TRUNC(TabCalc[[#This Row],[L_S1p]],2)&amp;"x"&amp;TabCalc[[#This Row],[L_S1n]]&amp;"=   "&amp;TEXT(TabCalc[[#This Row],[ReverseB1]],"#,#0"),"")</f>
        <v>64.33x990=   -2,178</v>
      </c>
      <c r="J13" s="318">
        <f ca="1">_xlfn.XLOOKUP(TabTRADER[[#This Row],[ClickTick]],TabCalc[Ticker],ListGravity)</f>
        <v>1.1395574928603638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0.88546777090552331</v>
      </c>
      <c r="N13" s="347" cm="1">
        <f t="array" aca="1" ref="N13" ca="1">_xlfn.XLOOKUP(TabTRADER[[#This Row],[ClickTick]],ListTickers,Tab2RSIConventional[RSIConv20])</f>
        <v>46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0.12887078985322811</v>
      </c>
      <c r="S13" s="743">
        <f ca="1">_xlfn.XLOOKUP(TabTRADER[[#This Row],[ClickTick]],SORTING!AG$3:AG$95,SORTING!AH$3:AH$95)*(1-Commission)</f>
        <v>7576.0124999999998</v>
      </c>
      <c r="T13" s="866">
        <f ca="1">_xlfn.XLOOKUP(TabTRADER[[#This Row],[ClickTick]],TabCalc[Ticker],TabCalc[Agiotage])</f>
        <v>0.88546777090552331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-350&lt;=-350 / -1.7%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66.53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-1.7136999999999999E-2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1785.5249999999921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2.6200234192037358E-2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0.34882319058016631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-7576.0124999999998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0.12854861287859504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-0.11665902600330676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2.6200234192037358E-2</v>
      </c>
      <c r="AW13" s="796">
        <f ca="1">TabTRADER[[#This Row],[L_Sn]]*(TabTRADER[[#This Row],[M]]-TabTRADER[[#This Row],[L_Sp]])*(1-Commission)*TabTRADER[[#This Row],[Scale]]</f>
        <v>-1785.5249999999921</v>
      </c>
      <c r="AX13" s="754">
        <f ca="1">TabTRADER[[#This Row],[L_Sn]]*(TabTRADER[[#This Row],[Agiotage]]-TabTRADER[[#This Row],[M]])/(TabTRADER[[#This Row],[L_Bn]]*TabTRADER[[#This Row],[M]])</f>
        <v>-0.49582447204528934</v>
      </c>
      <c r="AY13" s="690">
        <f ca="1">IFERROR((TabTRADER[[#This Row],[M]]-TabTRADER[[#This Row],[A]])/TabTRADER[[#This Row],[A]],0)</f>
        <v>0.12887078985322811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7,576$</v>
      </c>
      <c r="BA13" s="744">
        <f ca="1">_xlfn.XLOOKUP(TabTRADER[[#This Row],[ClickTick]],TabCalc[[#This Row],[Ticker]],TabCalc[[#This Row],[GL]])*(1-Commission)</f>
        <v>124716.27787499997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-0.13128906445818894</v>
      </c>
      <c r="BL13" s="749">
        <f ca="1">(TabTRADER[[#This Row],[M]]-TabTRADER[[#This Row],[Agiotage]])/(TabTRADER[[#This Row],[M]]-TabTRADER[[#This Row],[A]])-1</f>
        <v>7.6431247174581287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+4,733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25.2%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7,188$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9,191$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-16.3% = 0</v>
      </c>
      <c r="I14" s="245" t="str">
        <f ca="1">IFERROR(TRUNC(TabCalc[[#This Row],[L_S1p]],2)&amp;"x"&amp;TabCalc[[#This Row],[L_S1n]]&amp;"=   "&amp;TEXT(TabCalc[[#This Row],[ReverseB1]],"#,#0"),"")</f>
        <v>67.07x2000=   -15,840</v>
      </c>
      <c r="J14" s="318">
        <f ca="1">_xlfn.XLOOKUP(TabTRADER[[#This Row],[ClickTick]],TabCalc[Ticker],ListGravity)</f>
        <v>1.0944459261234833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0.93561724412236513</v>
      </c>
      <c r="N14" s="347" cm="1">
        <f t="array" aca="1" ref="N14" ca="1">_xlfn.XLOOKUP(TabTRADER[[#This Row],[ClickTick]],ListTickers,Tab2RSIConventional[RSIConv20])</f>
        <v>59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0.33776483917297973</v>
      </c>
      <c r="S14" s="743">
        <f ca="1">_xlfn.XLOOKUP(TabTRADER[[#This Row],[ClickTick]],SORTING!AG$3:AG$95,SORTING!AH$3:AH$95)*(1-Commission)</f>
        <v>4721.6188687499989</v>
      </c>
      <c r="T14" s="866">
        <f ca="1">_xlfn.XLOOKUP(TabTRADER[[#This Row],[ClickTick]],TabCalc[Ticker],TabCalc[Agiotage])</f>
        <v>0.93561724412236513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143&lt;=143 / 0.4%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74.989999999999995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4.2859999999999999E-3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0.16092178957194286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3056.0906249999994</v>
      </c>
      <c r="AJ14" s="1144">
        <f ca="1">_xlfn.XLOOKUP(TabTRADER[[#This Row],[ClickTick]],TabCalc[Ticker],TabCalc[Ann%RevLB])</f>
        <v>0.53331290395733644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0.33526483917297972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6316.4157065894487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250x18.93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0.33692042707504727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-0.25498446459527929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-0.1953455009165537</v>
      </c>
      <c r="AW14" s="796">
        <f ca="1">TabTRADER[[#This Row],[L_Sn]]*(TabTRADER[[#This Row],[M]]-TabTRADER[[#This Row],[L_Sp]])*(1-Commission)*TabTRADER[[#This Row],[Scale]]</f>
        <v>9168.2718749999967</v>
      </c>
      <c r="AX14" s="754">
        <f ca="1">TabTRADER[[#This Row],[L_Sn]]*(TabTRADER[[#This Row],[Agiotage]]-TabTRADER[[#This Row],[M]])/(TabTRADER[[#This Row],[L_Bn]]*TabTRADER[[#This Row],[M]])</f>
        <v>-0.37032128995138164</v>
      </c>
      <c r="AY14" s="690">
        <f ca="1">IFERROR((TabTRADER[[#This Row],[M]]-TabTRADER[[#This Row],[A]])/TabTRADER[[#This Row],[A]],0)</f>
        <v>0.33776483917297973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4,722$</v>
      </c>
      <c r="BA14" s="744">
        <f ca="1">_xlfn.XLOOKUP(TabTRADER[[#This Row],[ClickTick]],TabCalc[[#This Row],[Ticker]],TabCalc[[#This Row],[GL]])*(1-Commission)</f>
        <v>-44262.695925000007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0.16342178957194287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-0.39495670803134736</v>
      </c>
      <c r="BL14" s="749">
        <f ca="1">(TabTRADER[[#This Row],[M]]-TabTRADER[[#This Row],[Agiotage]])/(TabTRADER[[#This Row],[M]]-TabTRADER[[#This Row],[A]])-1</f>
        <v>2.911224563670896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+6,300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14.2%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-21,525$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-36,225$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108.5% = 2,070</v>
      </c>
      <c r="I15" s="245" t="str">
        <f ca="1">IFERROR(TRUNC(TabCalc[[#This Row],[L_S1p]],2)&amp;"x"&amp;TabCalc[[#This Row],[L_S1n]]&amp;"=   "&amp;TEXT(TabCalc[[#This Row],[ReverseB1]],"#,#0"),"")</f>
        <v>3.52x20000=   25,900</v>
      </c>
      <c r="J15" s="318">
        <f ca="1">_xlfn.XLOOKUP(TabTRADER[[#This Row],[ClickTick]],TabCalc[Ticker],ListGravity)</f>
        <v>1.4606741573033708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133500</v>
      </c>
      <c r="M15" s="346">
        <f ca="1">_xlfn.XLOOKUP(TabTRADER[[#This Row],[ClickTick]],TabCalc[Ticker],TabCalc[Agiotage])</f>
        <v>0.41372923122963995</v>
      </c>
      <c r="N15" s="347" cm="1">
        <f t="array" aca="1" ref="N15" ca="1">_xlfn.XLOOKUP(TabTRADER[[#This Row],[ClickTick]],ListTickers,Tab2RSIConventional[RSIConv20])</f>
        <v>51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0.16492146596858648</v>
      </c>
      <c r="S15" s="743">
        <f ca="1">_xlfn.XLOOKUP(TabTRADER[[#This Row],[ClickTick]],SORTING!AG$3:AG$95,SORTING!AH$3:AH$95)*(1-Commission)</f>
        <v>6284.2500000000036</v>
      </c>
      <c r="T15" s="866">
        <f ca="1">_xlfn.XLOOKUP(TabTRADER[[#This Row],[ClickTick]],TabCalc[Ticker],TabCalc[Agiotage])</f>
        <v>0.41372923122963995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-4,500&lt;=-4,500 / -1.1%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2.2250000000000001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-1.1110999999999999E-2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Pile-337/223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6284.2500000000036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0.16492146596858648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0.48665350613681257</v>
      </c>
      <c r="AK15" s="1143">
        <f ca="1">_xlfn.XLOOKUP(TabTRADER[[#This Row],[ClickTick]],TabCalc[Ticker],TabCalc[Up20])</f>
        <v>0.47619047619047616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-64416.828941324347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0.40642584269662924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0.52047413793103448</v>
      </c>
      <c r="AW15" s="796">
        <f ca="1">TabTRADER[[#This Row],[L_Sn]]*(TabTRADER[[#This Row],[M]]-TabTRADER[[#This Row],[L_Sp]])*(1-Commission)*TabTRADER[[#This Row],[Scale]]</f>
        <v>-36134.437499999993</v>
      </c>
      <c r="AX15" s="754">
        <f ca="1">TabTRADER[[#This Row],[L_Sn]]*(TabTRADER[[#This Row],[Agiotage]]-TabTRADER[[#This Row],[M]])/(TabTRADER[[#This Row],[L_Bn]]*TabTRADER[[#This Row],[M]])</f>
        <v>-0.61054070857427867</v>
      </c>
      <c r="AY15" s="690">
        <f ca="1">IFERROR((TabTRADER[[#This Row],[M]]-TabTRADER[[#This Row],[A]])/TabTRADER[[#This Row],[A]],0)</f>
        <v>-0.29023943652986101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-90,759$</v>
      </c>
      <c r="BA15" s="744">
        <f ca="1">_xlfn.XLOOKUP(TabTRADER[[#This Row],[ClickTick]],TabCalc[[#This Row],[Ticker]],TabCalc[[#This Row],[GL]])*(1-Commission)</f>
        <v>-336171.96375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-1.3886409227239428E-4</v>
      </c>
      <c r="BL15" s="749">
        <f ca="1">(TabTRADER[[#This Row],[M]]-TabTRADER[[#This Row],[Agiotage]])/(TabTRADER[[#This Row],[M]]-TabTRADER[[#This Row],[A]])-1</f>
        <v>-2.990713701855626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+58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0.1%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1,466</v>
      </c>
      <c r="F16" s="245" t="str">
        <f ca="1">TRUNC(TabCalc[[#This Row],[L_B1p]],2)&amp;"x"&amp;TabCalc[[#This Row],[L_B1n]]&amp;"=   "&amp;TEXT(TabCalc[[#This Row],[ReverseS1]],"#,#0")&amp;"$"</f>
        <v>-109.28x800=   5,352$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-2,728$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1,466</v>
      </c>
      <c r="I16" s="245" t="str">
        <f ca="1">IFERROR(TRUNC(TabCalc[[#This Row],[L_S1p]],2)&amp;"x"&amp;TabCalc[[#This Row],[L_S1n]]&amp;"=   "&amp;TEXT(TabCalc[[#This Row],[ReverseB1]],"#,#0"),"")</f>
        <v>117.4x400=   572</v>
      </c>
      <c r="J16" s="318">
        <f ca="1">_xlfn.XLOOKUP(TabTRADER[[#This Row],[ClickTick]],TabCalc[Ticker],ListGravity)</f>
        <v>1.1401736656031733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75380.5</v>
      </c>
      <c r="M16" s="346">
        <f ca="1">_xlfn.XLOOKUP(TabTRADER[[#This Row],[ClickTick]],TabCalc[Ticker],TabCalc[Agiotage])</f>
        <v>1.0857649478121689</v>
      </c>
      <c r="N16" s="347" cm="1">
        <f t="array" aca="1" ref="N16" ca="1">_xlfn.XLOOKUP(TabTRADER[[#This Row],[ClickTick]],ListTickers,Tab2RSIConventional[RSIConv20])</f>
        <v>31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6.2555275135361087E-4</v>
      </c>
      <c r="S16" s="743">
        <f ca="1">_xlfn.XLOOKUP(TabTRADER[[#This Row],[ClickTick]],SORTING!AG$3:AG$95,SORTING!AH$3:AH$95)*(1-Commission)</f>
        <v>57.855000000004082</v>
      </c>
      <c r="T16" s="866">
        <f ca="1">_xlfn.XLOOKUP(TabTRADER[[#This Row],[ClickTick]],TabCalc[Ticker],TabCalc[Agiotage])</f>
        <v>1.0857649478121689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-290&lt;=-290 / -0.9%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115.97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-9.4809999999999998E-3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57.855000000004082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6.2555275135361087E-4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0.11259949524364996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7081.8054698938486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-6.0187332930930398E-2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2.856424861785891E-2</v>
      </c>
      <c r="AW16" s="796">
        <f ca="1">TabTRADER[[#This Row],[L_Sn]]*(TabTRADER[[#This Row],[M]]-TabTRADER[[#This Row],[L_Sp]])*(1-Commission)*TabTRADER[[#This Row],[Scale]]</f>
        <v>-2721.1799999999976</v>
      </c>
      <c r="AX16" s="754">
        <f ca="1">TabTRADER[[#This Row],[L_Sn]]*(TabTRADER[[#This Row],[Agiotage]]-TabTRADER[[#This Row],[M]])/(TabTRADER[[#This Row],[L_Bn]]*TabTRADER[[#This Row],[M]])</f>
        <v>-0.99063753601955529</v>
      </c>
      <c r="AY16" s="690">
        <f ca="1">IFERROR((TabTRADER[[#This Row],[M]]-TabTRADER[[#This Row],[A]])/TabTRADER[[#This Row],[A]],0)</f>
        <v>6.1218887262079039E-2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6,673$</v>
      </c>
      <c r="BA16" s="744">
        <f ca="1">_xlfn.XLOOKUP(TabTRADER[[#This Row],[ClickTick]],TabCalc[[#This Row],[Ticker]],TabCalc[[#This Row],[GL]])*(1-Commission)</f>
        <v>24211.806779999955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-0.25848952886742266</v>
      </c>
      <c r="BL16" s="749">
        <f ca="1">(TabTRADER[[#This Row],[M]]-TabTRADER[[#This Row],[Agiotage]])/(TabTRADER[[#This Row],[M]]-TabTRADER[[#This Row],[A]])-1</f>
        <v>16.172531397935408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+1,840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-1,695$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-5,565$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40.4% = 449</v>
      </c>
      <c r="I17" s="245" t="str">
        <f ca="1">IFERROR(TRUNC(TabCalc[[#This Row],[L_S1p]],2)&amp;"x"&amp;TabCalc[[#This Row],[L_S1n]]&amp;"=   "&amp;TEXT(TabCalc[[#This Row],[ReverseB1]],"#,#0"),"")</f>
        <v>40.01x1000=   12,450</v>
      </c>
      <c r="J17" s="318">
        <f ca="1">_xlfn.XLOOKUP(TabTRADER[[#This Row],[ClickTick]],TabCalc[Ticker],ListGravity)</f>
        <v>1.2902757619738754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158470</v>
      </c>
      <c r="M17" s="346">
        <f ca="1">_xlfn.XLOOKUP(TabTRADER[[#This Row],[ClickTick]],TabCalc[Ticker],TabCalc[Agiotage])</f>
        <v>0.84064482926332695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3.4534534534534464E-2</v>
      </c>
      <c r="S17" s="743">
        <f ca="1">_xlfn.XLOOKUP(TabTRADER[[#This Row],[ClickTick]],SORTING!AG$3:AG$95,SORTING!AH$3:AH$95)*(1-Commission)</f>
        <v>1835.3999999999965</v>
      </c>
      <c r="T17" s="866">
        <f ca="1">_xlfn.XLOOKUP(TabTRADER[[#This Row],[ClickTick]],TabCalc[Ticker],TabCalc[Agiotage])</f>
        <v>0.84064482926332695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1,140&lt;=1,140 / 1.0%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27.56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9.894E-3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Pile^1/165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1835.3999999999965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3.4534534534534464E-2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0.42870456663560025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-22250.898956289744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0.15343251088534118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0.28767123287671231</v>
      </c>
      <c r="AW17" s="796">
        <f ca="1">TabTRADER[[#This Row],[L_Sn]]*(TabTRADER[[#This Row],[M]]-TabTRADER[[#This Row],[L_Sp]])*(1-Commission)*TabTRADER[[#This Row],[Scale]]</f>
        <v>-5551.0874999999996</v>
      </c>
      <c r="AX17" s="754">
        <f ca="1">TabTRADER[[#This Row],[L_Sn]]*(TabTRADER[[#This Row],[Agiotage]]-TabTRADER[[#This Row],[M]])/(TabTRADER[[#This Row],[L_Bn]]*TabTRADER[[#This Row],[M]])</f>
        <v>-0.24237441192613091</v>
      </c>
      <c r="AY17" s="690">
        <f ca="1">IFERROR((TabTRADER[[#This Row],[M]]-TabTRADER[[#This Row],[A]])/TabTRADER[[#This Row],[A]],0)</f>
        <v>-0.13489759083418357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-25,721$</v>
      </c>
      <c r="BA17" s="744">
        <f ca="1">_xlfn.XLOOKUP(TabTRADER[[#This Row],[ClickTick]],TabCalc[[#This Row],[Ticker]],TabCalc[[#This Row],[GL]])*(1-Commission)</f>
        <v>1229.3269799999377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-5.7891936203262787E-2</v>
      </c>
      <c r="BL17" s="749">
        <f ca="1">(TabTRADER[[#This Row],[M]]-TabTRADER[[#This Row],[Agiotage]])/(TabTRADER[[#This Row],[M]]-TabTRADER[[#This Row],[A]])-1</f>
        <v>-7.2174183061632702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-6,930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-6,172$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-7,452$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14.0% = 268</v>
      </c>
      <c r="I18" s="245" t="str">
        <f ca="1">IFERROR(TRUNC(TabCalc[[#This Row],[L_S1p]],2)&amp;"x"&amp;TabCalc[[#This Row],[L_S1n]]&amp;"=   "&amp;TEXT(TabCalc[[#This Row],[ReverseB1]],"#,#0"),"")</f>
        <v>150.64x990=   17,375</v>
      </c>
      <c r="J18" s="318">
        <f ca="1">_xlfn.XLOOKUP(TabTRADER[[#This Row],[ClickTick]],TabCalc[Ticker],ListGravity)</f>
        <v>1.1533548726425726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0.65264001127734961</v>
      </c>
      <c r="N18" s="347" cm="1">
        <f t="array" aca="1" ref="N18" ca="1">_xlfn.XLOOKUP(TabTRADER[[#This Row],[ClickTick]],ListTickers,Tab2RSIConventional[RSIConv20])</f>
        <v>26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-4.9967877792847455E-2</v>
      </c>
      <c r="S18" s="743">
        <f ca="1">_xlfn.XLOOKUP(TabTRADER[[#This Row],[ClickTick]],SORTING!AG$3:AG$95,SORTING!AH$3:AH$95)*(1-Commission)</f>
        <v>-6912.6750000000002</v>
      </c>
      <c r="T18" s="866">
        <f ca="1">_xlfn.XLOOKUP(TabTRADER[[#This Row],[ClickTick]],TabCalc[Ticker],TabCalc[Agiotage])</f>
        <v>0.65264001127734961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90&lt;=90 / -0.1%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133.09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-1.126E-3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5.0095987677511458E-2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-0.33940445293254878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5.259598767751146E-2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6912.6750000000011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5.0729393643399297E-2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7066.5892500000136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-5.0412873472526792E-2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5.0729393643399297E-2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0.12279198523596095</v>
      </c>
      <c r="AW18" s="796">
        <f ca="1">TabTRADER[[#This Row],[L_Sn]]*(TabTRADER[[#This Row],[M]]-TabTRADER[[#This Row],[L_Sp]])*(1-Commission)*TabTRADER[[#This Row],[Scale]]</f>
        <v>-7433.369999999999</v>
      </c>
      <c r="AX18" s="754">
        <f ca="1">TabTRADER[[#This Row],[L_Sn]]*(TabTRADER[[#This Row],[Agiotage]]-TabTRADER[[#This Row],[M]])/(TabTRADER[[#This Row],[L_Bn]]*TabTRADER[[#This Row],[M]])</f>
        <v>-0.40205909114049093</v>
      </c>
      <c r="AY18" s="690">
        <f ca="1">IFERROR((TabTRADER[[#This Row],[M]]-TabTRADER[[#This Row],[A]])/TabTRADER[[#This Row],[A]],0)</f>
        <v>-5.0539221526342645E-2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-7,067$</v>
      </c>
      <c r="BA18" s="744">
        <f ca="1">_xlfn.XLOOKUP(TabTRADER[[#This Row],[ClickTick]],TabCalc[[#This Row],[Ticker]],TabCalc[[#This Row],[GL]])*(1-Commission)</f>
        <v>40110.662024999947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5.259598767751146E-2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-0.46353075996052923</v>
      </c>
      <c r="BL18" s="749">
        <f ca="1">(TabTRADER[[#This Row],[M]]-TabTRADER[[#This Row],[Agiotage]])/(TabTRADER[[#This Row],[M]]-TabTRADER[[#This Row],[A]])-1</f>
        <v>-19.694487809483281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-1,800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-18,150$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-25,160$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44.8% = 795</v>
      </c>
      <c r="I19" s="245" t="str">
        <f ca="1">IFERROR(TRUNC(TabCalc[[#This Row],[L_S1p]],2)&amp;"x"&amp;TabCalc[[#This Row],[L_S1n]]&amp;"=   "&amp;TEXT(TabCalc[[#This Row],[ReverseB1]],"#,#0"),"")</f>
        <v>19.33x4000=   21,204</v>
      </c>
      <c r="J19" s="318">
        <f ca="1">_xlfn.XLOOKUP(TabTRADER[[#This Row],[ClickTick]],TabCalc[Ticker],ListGravity)</f>
        <v>1.0780470420527442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57677.329999999994</v>
      </c>
      <c r="M19" s="346">
        <f ca="1">_xlfn.XLOOKUP(TabTRADER[[#This Row],[ClickTick]],TabCalc[Ticker],TabCalc[Agiotage])</f>
        <v>1.0440655942660786</v>
      </c>
      <c r="N19" s="347" cm="1">
        <f t="array" aca="1" ref="N19" ca="1">_xlfn.XLOOKUP(TabTRADER[[#This Row],[ClickTick]],ListTickers,Tab2RSIConventional[RSIConv20])</f>
        <v>35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-3.1077348066298416E-2</v>
      </c>
      <c r="S19" s="743">
        <f ca="1">_xlfn.XLOOKUP(TabTRADER[[#This Row],[ClickTick]],SORTING!AG$3:AG$95,SORTING!AH$3:AH$95)*(1-Commission)</f>
        <v>-1795.5000000000043</v>
      </c>
      <c r="T19" s="866">
        <f ca="1">_xlfn.XLOOKUP(TabTRADER[[#This Row],[ClickTick]],TabCalc[Ticker],TabCalc[Agiotage])</f>
        <v>1.0440655942660786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-2,400&lt;=-2,400 / -3.6%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14.03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-3.5739E-2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2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4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76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2.957412687099081E-2</v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-0.21109142082768736</v>
      </c>
      <c r="AK19" s="1143">
        <f ca="1">_xlfn.XLOOKUP(TabTRADER[[#This Row],[ClickTick]],TabCalc[Ticker],TabCalc[Up20])</f>
        <v>0.52380952380952384</v>
      </c>
      <c r="AL19" s="333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3.2074126870990809E-2</v>
      </c>
      <c r="AM19" s="918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1795.5000000000041</v>
      </c>
      <c r="AN19" s="834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0.12668745545260157</v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10847.8125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Q19" s="803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-0.45</v>
      </c>
      <c r="AR19" s="838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-0.11412142969859555</v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0.12668745545260157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0.30954724409448825</v>
      </c>
      <c r="AW19" s="796">
        <f ca="1">TabTRADER[[#This Row],[L_Sn]]*(TabTRADER[[#This Row],[M]]-TabTRADER[[#This Row],[L_Sp]])*(1-Commission)*TabTRADER[[#This Row],[Scale]]</f>
        <v>-25097.100000000006</v>
      </c>
      <c r="AX19" s="754">
        <f ca="1">TabTRADER[[#This Row],[L_Sn]]*(TabTRADER[[#This Row],[Agiotage]]-TabTRADER[[#This Row],[M]])/(TabTRADER[[#This Row],[L_Bn]]*TabTRADER[[#This Row],[M]])</f>
        <v>-0.92558335037305217</v>
      </c>
      <c r="AY19" s="690">
        <f ca="1">IFERROR((TabTRADER[[#This Row],[M]]-TabTRADER[[#This Row],[A]])/TabTRADER[[#This Row],[A]],0)</f>
        <v>-0.11440744831939403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-10,848$</v>
      </c>
      <c r="BA19" s="744">
        <f ca="1">_xlfn.XLOOKUP(TabTRADER[[#This Row],[ClickTick]],TabCalc[[#This Row],[Ticker]],TabCalc[[#This Row],[GL]])*(1-Commission)</f>
        <v>-43296.135382499968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3.2074126870990809E-2</v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-5.4108060023891338E-3</v>
      </c>
      <c r="BL19" s="749">
        <f ca="1">(TabTRADER[[#This Row],[M]]-TabTRADER[[#This Row],[Agiotage]])/(TabTRADER[[#This Row],[M]]-TabTRADER[[#This Row],[A]])-1</f>
        <v>-8.164653465232508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+3,725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4.8%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1,000,000</v>
      </c>
      <c r="F20" s="245" t="str">
        <f ca="1">TRUNC(TabCalc[[#This Row],[L_B1p]],2)&amp;"x"&amp;TabCalc[[#This Row],[L_B1n]]&amp;"=   "&amp;TEXT(TabCalc[[#This Row],[ReverseS1]],"#,#0")&amp;"$"</f>
        <v>-14.7x1250=   1,031$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15.53x3750=   -19$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1,000,000</v>
      </c>
      <c r="I20" s="245" t="str">
        <f ca="1">IFERROR(TRUNC(TabCalc[[#This Row],[L_S1p]],2)&amp;"x"&amp;TabCalc[[#This Row],[L_S1n]]&amp;"=   "&amp;TEXT(TabCalc[[#This Row],[ReverseB1]],"#,#0"),"")</f>
        <v>16.51x5000=   4,925</v>
      </c>
      <c r="J20" s="318">
        <f ca="1">_xlfn.XLOOKUP(TabTRADER[[#This Row],[ClickTick]],TabCalc[Ticker],ListGravity)</f>
        <v>1.0879227053140097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1.2674223751841054</v>
      </c>
      <c r="N20" s="347" cm="1">
        <f t="array" aca="1" ref="N20" ca="1">_xlfn.XLOOKUP(TabTRADER[[#This Row],[ClickTick]],ListTickers,Tab2RSIConventional[RSIConv20])</f>
        <v>52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5.040595399188099E-2</v>
      </c>
      <c r="S20" s="743">
        <f ca="1">_xlfn.XLOOKUP(TabTRADER[[#This Row],[ClickTick]],SORTING!AG$3:AG$95,SORTING!AH$3:AH$95)*(1-Commission)</f>
        <v>3715.687500000005</v>
      </c>
      <c r="T20" s="866">
        <f ca="1">_xlfn.XLOOKUP(TabTRADER[[#This Row],[ClickTick]],TabCalc[Ticker],TabCalc[Agiotage])</f>
        <v>1.2674223751841054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1,094&lt;=1,094 / 1.5%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15.525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1.5038000000000001E-2</v>
      </c>
      <c r="AC20" s="842">
        <f ca="1">_xlfn.XLOOKUP(TabTRADER[[#This Row],[ClickTick]],TabCalc[Ticker],TabCalc[NAfter])</f>
        <v>6250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Pile^1,164/97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18.70312499999628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3.2195750160972348E-4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1.8146143437077158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-12071.308593750007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0.8%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0" s="838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0.14213296844816495</v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-0.12721819645732696</v>
      </c>
      <c r="AT20" s="347">
        <f ca="1">_xlfn.XLOOKUP(TabTRADER[[#This Row],[ClickTick]],TabCalc[Ticker],TabCalc[L_Sn])</f>
        <v>3750</v>
      </c>
      <c r="AU20" s="795">
        <f ca="1">_xlfn.XLOOKUP(TabTRADER[[#This Row],[ClickTick]],TabCalc[Ticker],TabCalc[L_Sp])</f>
        <v>15.53</v>
      </c>
      <c r="AV20" s="837">
        <f ca="1">-IFERROR((TabTRADER[[#This Row],[M]]-TabTRADER[[#This Row],[L_Sp]])/TabTRADER[[#This Row],[L_Sp]],0)</f>
        <v>3.2195750160972348E-4</v>
      </c>
      <c r="AW20" s="796">
        <f ca="1">TabTRADER[[#This Row],[L_Sn]]*(TabTRADER[[#This Row],[M]]-TabTRADER[[#This Row],[L_Sp]])*(1-Commission)*TabTRADER[[#This Row],[Scale]]</f>
        <v>-18.70312499999628</v>
      </c>
      <c r="AX20" s="754">
        <f ca="1">TabTRADER[[#This Row],[L_Sn]]*(TabTRADER[[#This Row],[Agiotage]]-TabTRADER[[#This Row],[M]])/(TabTRADER[[#This Row],[L_Bn]]*TabTRADER[[#This Row],[M]])</f>
        <v>-0.688771865933135</v>
      </c>
      <c r="AY20" s="690">
        <f ca="1">IFERROR((TabTRADER[[#This Row],[M]]-TabTRADER[[#This Row],[A]])/TabTRADER[[#This Row],[A]],0)</f>
        <v>0.14248919142673178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6,250 : 12,071$</v>
      </c>
      <c r="BA20" s="744">
        <f ca="1">_xlfn.XLOOKUP(TabTRADER[[#This Row],[ClickTick]],TabCalc[[#This Row],[Ticker]],TabCalc[[#This Row],[GL]])*(1-Commission)</f>
        <v>1160824.4156250001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63237.5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-6.0832331199214482E-3</v>
      </c>
      <c r="BL20" s="749">
        <f ca="1">(TabTRADER[[#This Row],[M]]-TabTRADER[[#This Row],[Agiotage]])/(TabTRADER[[#This Row],[M]]-TabTRADER[[#This Row],[A]])-1</f>
        <v>6.3635003872515874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-18,205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-24,257$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-55,671$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2743.8% = 898</v>
      </c>
      <c r="I21" s="245" t="str">
        <f ca="1">IFERROR(TRUNC(TabCalc[[#This Row],[L_S1p]],2)&amp;"x"&amp;TabCalc[[#This Row],[L_S1n]]&amp;"=   "&amp;TEXT(TabCalc[[#This Row],[ReverseB1]],"#,#0"),"")</f>
        <v>5.55x3000=   16,041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2498.3076999999998</v>
      </c>
      <c r="M21" s="346">
        <f ca="1">_xlfn.XLOOKUP(TabTRADER[[#This Row],[ClickTick]],TabCalc[Ticker],TabCalc[Agiotage])</f>
        <v>0.1144557343760981</v>
      </c>
      <c r="N21" s="347" cm="1">
        <f t="array" aca="1" ref="N21" ca="1">_xlfn.XLOOKUP(TabTRADER[[#This Row],[ClickTick]],ListTickers,Tab2RSIConventional[RSIConv20])</f>
        <v>47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-0.8820348837209302</v>
      </c>
      <c r="S21" s="743">
        <f ca="1">_xlfn.XLOOKUP(TabTRADER[[#This Row],[ClickTick]],SORTING!AG$3:AG$95,SORTING!AH$3:AH$95)*(1-Commission)</f>
        <v>-18159.686999999998</v>
      </c>
      <c r="T21" s="866">
        <f ca="1">_xlfn.XLOOKUP(TabTRADER[[#This Row],[ClickTick]],TabCalc[Ticker],TabCalc[Agiotage])</f>
        <v>0.1144557343760981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-243&lt;=-243 / -1.3%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0.2029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-1.2652000000000002E-2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-1.4050113192014817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18159.687000000002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9.4799051256776732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57575.101499999997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-0.90234054107424955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9.4799051256776732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0.96483535528596198</v>
      </c>
      <c r="AW21" s="796">
        <f ca="1">TabTRADER[[#This Row],[L_Sn]]*(TabTRADER[[#This Row],[M]]-TabTRADER[[#This Row],[L_Sp]])*(1-Commission)*TabTRADER[[#This Row],[Scale]]</f>
        <v>-55531.822500000002</v>
      </c>
      <c r="AX21" s="754">
        <f ca="1">TabTRADER[[#This Row],[L_Sn]]*(TabTRADER[[#This Row],[Agiotage]]-TabTRADER[[#This Row],[M]])/(TabTRADER[[#This Row],[L_Bn]]*TabTRADER[[#This Row],[M]])</f>
        <v>-0.36325063916503159</v>
      </c>
      <c r="AY21" s="690">
        <f ca="1">IFERROR((TabTRADER[[#This Row],[M]]-TabTRADER[[#This Row],[A]])/TabTRADER[[#This Row],[A]],0)</f>
        <v>-0.90460204618972384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-57,575$</v>
      </c>
      <c r="BA21" s="744">
        <f ca="1">_xlfn.XLOOKUP(TabTRADER[[#This Row],[ClickTick]],TabCalc[[#This Row],[Ticker]],TabCalc[[#This Row],[GL]])*(1-Commission)</f>
        <v>-280.53251099999272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-1.1792568749853588E-5</v>
      </c>
      <c r="BL21" s="749">
        <f ca="1">(TabTRADER[[#This Row],[M]]-TabTRADER[[#This Row],[Agiotage]])/(TabTRADER[[#This Row],[M]]-TabTRADER[[#This Row],[A]])-1</f>
        <v>-1.0459694308796879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+118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150$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10,763$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-18.6% = 0</v>
      </c>
      <c r="I22" s="245" t="str">
        <f ca="1">IFERROR(TRUNC(TabCalc[[#This Row],[L_S1p]],2)&amp;"x"&amp;TabCalc[[#This Row],[L_S1n]]&amp;"=   "&amp;TEXT(TabCalc[[#This Row],[ReverseB1]],"#,#0"),"")</f>
        <v>46.95x990=   -11,439</v>
      </c>
      <c r="J22" s="318">
        <f ca="1">_xlfn.XLOOKUP(TabTRADER[[#This Row],[ClickTick]],TabCalc[Ticker],ListGravity)</f>
        <v>0.97769421416972913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1.8756512069792939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0.25342788585140114</v>
      </c>
      <c r="S22" s="743">
        <f ca="1">_xlfn.XLOOKUP(TabTRADER[[#This Row],[ClickTick]],SORTING!AG$3:AG$95,SORTING!AH$3:AH$95)*(1-Commission)</f>
        <v>117.99427500000002</v>
      </c>
      <c r="T22" s="866">
        <f ca="1">_xlfn.XLOOKUP(TabTRADER[[#This Row],[ClickTick]],TabCalc[Ticker],TabCalc[Agiotage])</f>
        <v>1.8756512069792939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-13&lt;=-13 / -0.3%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58.505000000000003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-3.4920000000000003E-3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0.18333027091701562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108.4482</v>
      </c>
      <c r="AJ22" s="1144">
        <f ca="1">_xlfn.XLOOKUP(TabTRADER[[#This Row],[ClickTick]],TabCalc[Ticker],TabCalc[Ann%RevLB])</f>
        <v>0.22751630650001101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0.25092788585140113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147.89731465581886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10x11.82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0.25279431613677267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-0.20468784719254765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-0.22824512417861564</v>
      </c>
      <c r="AW22" s="796">
        <f ca="1">TabTRADER[[#This Row],[L_Sn]]*(TabTRADER[[#This Row],[M]]-TabTRADER[[#This Row],[L_Sp]])*(1-Commission)*TabTRADER[[#This Row],[Scale]]</f>
        <v>10736.371800000001</v>
      </c>
      <c r="AX22" s="754">
        <f ca="1">TabTRADER[[#This Row],[L_Sn]]*(TabTRADER[[#This Row],[Agiotage]]-TabTRADER[[#This Row],[M]])/(TabTRADER[[#This Row],[L_Bn]]*TabTRADER[[#This Row],[M]])</f>
        <v>-0.96794032634852922</v>
      </c>
      <c r="AY22" s="690">
        <f ca="1">IFERROR((TabTRADER[[#This Row],[M]]-TabTRADER[[#This Row],[A]])/TabTRADER[[#This Row],[A]],0)</f>
        <v>0.25342788585140114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118$</v>
      </c>
      <c r="BA22" s="744">
        <f ca="1">_xlfn.XLOOKUP(TabTRADER[[#This Row],[ClickTick]],TabCalc[[#This Row],[Ticker]],TabCalc[[#This Row],[GL]])*(1-Commission)</f>
        <v>14257.24755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0.18583027091701562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-5.7201362417192643</v>
      </c>
      <c r="BL22" s="749">
        <f ca="1">(TabTRADER[[#This Row],[M]]-TabTRADER[[#This Row],[Agiotage]])/(TabTRADER[[#This Row],[M]]-TabTRADER[[#This Row],[A]])-1</f>
        <v>3.787331878689721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+17,950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36.3%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557/12,000=13,780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17,788$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2,243$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-6.0% = 0</v>
      </c>
      <c r="I23" s="245" t="str">
        <f ca="1">IFERROR(TRUNC(TabCalc[[#This Row],[L_S1p]],2)&amp;"x"&amp;TabCalc[[#This Row],[L_S1n]]&amp;"=   "&amp;TEXT(TabCalc[[#This Row],[ReverseB1]],"#,#0"),"")</f>
        <v>22.45x2000=   -4,570</v>
      </c>
      <c r="J23" s="318">
        <f ca="1">_xlfn.XLOOKUP(TabTRADER[[#This Row],[ClickTick]],TabCalc[Ticker],ListGravity)</f>
        <v>0.92298362644026677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1.0086085497549011</v>
      </c>
      <c r="N23" s="347" cm="1">
        <f t="array" aca="1" ref="N23" ca="1">_xlfn.XLOOKUP(TabTRADER[[#This Row],[ClickTick]],ListTickers,Tab2RSIConventional[RSIConv20])</f>
        <v>71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0.56947969543147203</v>
      </c>
      <c r="S23" s="743">
        <f ca="1">_xlfn.XLOOKUP(TabTRADER[[#This Row],[ClickTick]],SORTING!AG$3:AG$95,SORTING!AH$3:AH$95)*(1-Commission)</f>
        <v>17905.125</v>
      </c>
      <c r="T23" s="866">
        <f ca="1">_xlfn.XLOOKUP(TabTRADER[[#This Row],[ClickTick]],TabCalc[Ticker],TabCalc[Agiotage])</f>
        <v>1.0086085497549011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-1,440&lt;=-1,440 / -0.5%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24.734999999999999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-5.0280000000000004E-3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^188/297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5.7940671113806387E-2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2236.8937500000015</v>
      </c>
      <c r="AJ23" s="1144">
        <f ca="1">_xlfn.XLOOKUP(TabTRADER[[#This Row],[ClickTick]],TabCalc[Ticker],TabCalc[Ann%RevLB])</f>
        <v>1.08472322939328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0.220630785259854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66064.10548162779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2,000x4.51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0.22257295829670437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-0.18492594164813692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-6.4328743545611064E-2</v>
      </c>
      <c r="AW23" s="796">
        <f ca="1">TabTRADER[[#This Row],[L_Sn]]*(TabTRADER[[#This Row],[M]]-TabTRADER[[#This Row],[L_Sp]])*(1-Commission)*TabTRADER[[#This Row],[Scale]]</f>
        <v>2236.8937500000015</v>
      </c>
      <c r="AX23" s="754">
        <f ca="1">TabTRADER[[#This Row],[L_Sn]]*(TabTRADER[[#This Row],[Agiotage]]-TabTRADER[[#This Row],[M]])/(TabTRADER[[#This Row],[L_Bn]]*TabTRADER[[#This Row],[M]])</f>
        <v>-0.7194175697466676</v>
      </c>
      <c r="AY23" s="690">
        <f ca="1">IFERROR((TabTRADER[[#This Row],[M]]-TabTRADER[[#This Row],[A]])/TabTRADER[[#This Row],[A]],0)</f>
        <v>0.223130785259854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54,012$</v>
      </c>
      <c r="BA23" s="744">
        <f ca="1">_xlfn.XLOOKUP(TabTRADER[[#This Row],[ClickTick]],TabCalc[[#This Row],[Ticker]],TabCalc[[#This Row],[GL]])*(1-Commission)</f>
        <v>187222.77000000002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6.0440671113806389E-2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-1.7794793587683825E-2</v>
      </c>
      <c r="BL23" s="749">
        <f ca="1">(TabTRADER[[#This Row],[M]]-TabTRADER[[#This Row],[Agiotage]])/(TabTRADER[[#This Row],[M]]-TabTRADER[[#This Row],[A]])-1</f>
        <v>4.2581525284328254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+3,005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10.7%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4,565$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3,500$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24" s="245" t="str">
        <f ca="1">IFERROR(TRUNC(TabCalc[[#This Row],[L_S1p]],2)&amp;"x"&amp;TabCalc[[#This Row],[L_S1n]]&amp;"=   "&amp;TEXT(TabCalc[[#This Row],[ReverseB1]],"#,#0"),"")</f>
        <v>29.09x1000=   1,140</v>
      </c>
      <c r="J24" s="318">
        <f ca="1">_xlfn.XLOOKUP(TabTRADER[[#This Row],[ClickTick]],TabCalc[Ticker],ListGravity)</f>
        <v>1.0004650330888929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0.88121744011287773</v>
      </c>
      <c r="N24" s="347" cm="1">
        <f t="array" aca="1" ref="N24" ca="1">_xlfn.XLOOKUP(TabTRADER[[#This Row],[ClickTick]],ListTickers,Tab2RSIConventional[RSIConv20])</f>
        <v>32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0.12044097157843449</v>
      </c>
      <c r="S24" s="743">
        <f ca="1">_xlfn.XLOOKUP(TabTRADER[[#This Row],[ClickTick]],SORTING!AG$3:AG$95,SORTING!AH$3:AH$95)*(1-Commission)</f>
        <v>2997.489494999998</v>
      </c>
      <c r="T24" s="866">
        <f ca="1">_xlfn.XLOOKUP(TabTRADER[[#This Row],[ClickTick]],TabCalc[Ticker],TabCalc[Agiotage])</f>
        <v>0.88121744011287773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-285&lt;=-285 / -1.4%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27.954999999999998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-1.3585E-2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2.880030406009659E-2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872.8125</v>
      </c>
      <c r="AJ24" s="1144">
        <f ca="1">_xlfn.XLOOKUP(TabTRADER[[#This Row],[ClickTick]],TabCalc[Ticker],TabCalc[Ann%RevLB])</f>
        <v>0.41294047398320399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0.11794097157843449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3358.5100420739486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0.1201398691494884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-0.1099942586299409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-3.2311669128508129E-2</v>
      </c>
      <c r="AW24" s="796">
        <f ca="1">TabTRADER[[#This Row],[L_Sn]]*(TabTRADER[[#This Row],[M]]-TabTRADER[[#This Row],[L_Sp]])*(1-Commission)*TabTRADER[[#This Row],[Scale]]</f>
        <v>3491.25</v>
      </c>
      <c r="AX24" s="754">
        <f ca="1">TabTRADER[[#This Row],[L_Sn]]*(TabTRADER[[#This Row],[Agiotage]]-TabTRADER[[#This Row],[M]])/(TabTRADER[[#This Row],[L_Bn]]*TabTRADER[[#This Row],[M]])</f>
        <v>-0.96847728706446501</v>
      </c>
      <c r="AY24" s="690">
        <f ca="1">IFERROR((TabTRADER[[#This Row],[M]]-TabTRADER[[#This Row],[A]])/TabTRADER[[#This Row],[A]],0)</f>
        <v>0.12044097157843449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2,997$</v>
      </c>
      <c r="BA24" s="744">
        <f ca="1">_xlfn.XLOOKUP(TabTRADER[[#This Row],[ClickTick]],TabCalc[[#This Row],[Ticker]],TabCalc[[#This Row],[GL]])*(1-Commission)</f>
        <v>45435.334980000043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3.1300304060096588E-2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-3.3842228199858902E-2</v>
      </c>
      <c r="BL24" s="749">
        <f ca="1">(TabTRADER[[#This Row],[M]]-TabTRADER[[#This Row],[Agiotage]])/(TabTRADER[[#This Row],[M]]-TabTRADER[[#This Row],[A]])-1</f>
        <v>8.0095722265366689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+26,598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34.8%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3,760/270,000=14,362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495,050</v>
      </c>
      <c r="F25" s="245" t="str">
        <f ca="1">TRUNC(TabCalc[[#This Row],[L_B1p]],2)&amp;"x"&amp;TabCalc[[#This Row],[L_B1n]]&amp;"=   "&amp;TEXT(TabCalc[[#This Row],[ReverseS1]],"#,#0")&amp;"$"</f>
        <v>-284.47x20000=   19,504$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-98$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4,950</v>
      </c>
      <c r="I25" s="245" t="str">
        <f ca="1">IFERROR(TRUNC(TabCalc[[#This Row],[L_S1p]],2)&amp;"x"&amp;TabCalc[[#This Row],[L_S1n]]&amp;"=   "&amp;TEXT(TabCalc[[#This Row],[ReverseB1]],"#,#0"),"")</f>
        <v>386.01x250=   10</v>
      </c>
      <c r="J25" s="318">
        <f ca="1">_xlfn.XLOOKUP(TabTRADER[[#This Row],[ClickTick]],TabCalc[Ticker],ListGravity)</f>
        <v>1.1409369109947645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0.78391580326449306</v>
      </c>
      <c r="N25" s="347" cm="1">
        <f t="array" aca="1" ref="N25" ca="1">_xlfn.XLOOKUP(TabTRADER[[#This Row],[ClickTick]],ListTickers,Tab2RSIConventional[RSIConv20])</f>
        <v>48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0.5340626154562832</v>
      </c>
      <c r="S25" s="743">
        <f ca="1">_xlfn.XLOOKUP(TabTRADER[[#This Row],[ClickTick]],SORTING!AG$3:AG$95,SORTING!AH$3:AH$95)*(1-Commission)</f>
        <v>26531.106000000003</v>
      </c>
      <c r="T25" s="866">
        <f ca="1">_xlfn.XLOOKUP(TabTRADER[[#This Row],[ClickTick]],TabCalc[Ticker],TabCalc[Agiotage])</f>
        <v>0.78391580326449306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-7,020&lt;=-7,020 / -0.1%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-7.8469999999999994E-4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Pile^1,108/1,031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98.228812499999108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2.6370068666614213E-3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1.1723325705137924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-465595.11495000008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0.82459050124470923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-0.45505189063408963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2.6370068666614213E-3</v>
      </c>
      <c r="AW25" s="796">
        <f ca="1">TabTRADER[[#This Row],[L_Sn]]*(TabTRADER[[#This Row],[M]]-TabTRADER[[#This Row],[L_Sp]])*(1-Commission)*TabTRADER[[#This Row],[Scale]]</f>
        <v>-98.228812499999108</v>
      </c>
      <c r="AX25" s="754">
        <f ca="1">TabTRADER[[#This Row],[L_Sn]]*(TabTRADER[[#This Row],[Agiotage]]-TabTRADER[[#This Row],[M]])/(TabTRADER[[#This Row],[L_Bn]]*TabTRADER[[#This Row],[M]])</f>
        <v>-0.48649958388981296</v>
      </c>
      <c r="AY25" s="690">
        <f ca="1">IFERROR((TabTRADER[[#This Row],[M]]-TabTRADER[[#This Row],[A]])/TabTRADER[[#This Row],[A]],0)</f>
        <v>0.8266571441049716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465,595$</v>
      </c>
      <c r="BA25" s="744">
        <f ca="1">_xlfn.XLOOKUP(TabTRADER[[#This Row],[ClickTick]],TabCalc[[#This Row],[Ticker]],TabCalc[[#This Row],[GL]])*(1-Commission)</f>
        <v>1104861.0916822499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-4.0510996981590407E-2</v>
      </c>
      <c r="BL25" s="749">
        <f ca="1">(TabTRADER[[#This Row],[M]]-TabTRADER[[#This Row],[Agiotage]])/(TabTRADER[[#This Row],[M]]-TabTRADER[[#This Row],[A]])-1</f>
        <v>1.2051567677489823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+733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1.6%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1,416</v>
      </c>
      <c r="F26" s="245" t="str">
        <f ca="1">TRUNC(TabCalc[[#This Row],[L_B1p]],2)&amp;"x"&amp;TabCalc[[#This Row],[L_B1n]]&amp;"=   "&amp;TEXT(TabCalc[[#This Row],[ReverseS1]],"#,#0")&amp;"$"</f>
        <v>-68.39x2000=   -219$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-3,530$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1,416</v>
      </c>
      <c r="I26" s="245" t="str">
        <f ca="1">IFERROR(TRUNC(TabCalc[[#This Row],[L_S1p]],2)&amp;"x"&amp;TabCalc[[#This Row],[L_S1n]]&amp;"=   "&amp;TEXT(TabCalc[[#This Row],[ReverseB1]],"#,#0"),"")</f>
        <v>69.12x1000=   830</v>
      </c>
      <c r="J26" s="318">
        <f ca="1">_xlfn.XLOOKUP(TabTRADER[[#This Row],[ClickTick]],TabCalc[Ticker],ListGravity)</f>
        <v>1.1089071606384535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1.1288481836894104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1.6522774635308116E-2</v>
      </c>
      <c r="S26" s="743">
        <f ca="1">_xlfn.XLOOKUP(TabTRADER[[#This Row],[ClickTick]],SORTING!AG$3:AG$95,SORTING!AH$3:AH$95)*(1-Commission)</f>
        <v>730.76849999999968</v>
      </c>
      <c r="T26" s="866">
        <f ca="1">_xlfn.XLOOKUP(TabTRADER[[#This Row],[ClickTick]],TabCalc[Ticker],TabCalc[Agiotage])</f>
        <v>1.1288481836894104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2,421&lt;=2,421 / 1.6%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68.290000000000006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1.5767E-2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Pile^115/182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730.76849999999968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1.6522774635308116E-2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0.4248713477650658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513.76862610899582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-5.3273935681202207E-3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4.9150654413812132E-2</v>
      </c>
      <c r="AW26" s="796">
        <f ca="1">TabTRADER[[#This Row],[L_Sn]]*(TabTRADER[[#This Row],[M]]-TabTRADER[[#This Row],[L_Sp]])*(1-Commission)*TabTRADER[[#This Row],[Scale]]</f>
        <v>-3521.174999999987</v>
      </c>
      <c r="AX26" s="754">
        <f ca="1">TabTRADER[[#This Row],[L_Sn]]*(TabTRADER[[#This Row],[Agiotage]]-TabTRADER[[#This Row],[M]])/(TabTRADER[[#This Row],[L_Bn]]*TabTRADER[[#This Row],[M]])</f>
        <v>-1.4901057392561712</v>
      </c>
      <c r="AY26" s="690">
        <f ca="1">IFERROR((TabTRADER[[#This Row],[M]]-TabTRADER[[#This Row],[A]])/TabTRADER[[#This Row],[A]],0)</f>
        <v>2.8354103892176755E-3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512$</v>
      </c>
      <c r="BA26" s="744">
        <f ca="1">_xlfn.XLOOKUP(TabTRADER[[#This Row],[ClickTick]],TabCalc[[#This Row],[Ticker]],TabCalc[[#This Row],[GL]])*(1-Commission)</f>
        <v>114560.47102500002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MAY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>
        <f ca="1">TabTRADER[[#This Row],[L_Sn]]*TabTRADER[[#This Row],[L_Sp]]+TabTRADER[[#This Row],[SellMore]]</f>
        <v>73820</v>
      </c>
      <c r="BH2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-9.240970513071306E-2</v>
      </c>
      <c r="BL26" s="749">
        <f ca="1">(TabTRADER[[#This Row],[M]]-TabTRADER[[#This Row],[Agiotage]])/(TabTRADER[[#This Row],[M]]-TabTRADER[[#This Row],[A]])-1</f>
        <v>346.83618347230248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40.5%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12,030$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-32.2% = 0</v>
      </c>
      <c r="I27" s="245" t="str">
        <f ca="1">IFERROR(TRUNC(TabCalc[[#This Row],[L_S1p]],2)&amp;"x"&amp;TabCalc[[#This Row],[L_S1n]]&amp;"=   "&amp;TEXT(TabCalc[[#This Row],[ReverseB1]],"#,#0"),"")</f>
        <v>4.96x2276=   -17,086</v>
      </c>
      <c r="J27" s="318">
        <f ca="1">_xlfn.XLOOKUP(TabTRADER[[#This Row],[ClickTick]],TabCalc[Ticker],ListGravity)</f>
        <v>1.2028869286287089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0.84198483169513727</v>
      </c>
      <c r="N27" s="347" cm="1">
        <f t="array" aca="1" ref="N27" ca="1">_xlfn.XLOOKUP(TabTRADER[[#This Row],[ClickTick]],ListTickers,Tab2RSIConventional[RSIConv20])</f>
        <v>33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0.68059299191374678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0.84198483169513727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2.8%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12.47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2.8029999999999999E-2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0.91083076984739353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0x8.61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2.2303453913223996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-0.32407177225340816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-0.4739952718676122</v>
      </c>
      <c r="AW27" s="796">
        <f ca="1">TabTRADER[[#This Row],[L_Sn]]*(TabTRADER[[#This Row],[M]]-TabTRADER[[#This Row],[L_Sp]])*(1-Commission)*TabTRADER[[#This Row],[Scale]]</f>
        <v>11999.925000000001</v>
      </c>
      <c r="AX27" s="754">
        <f ca="1">TabTRADER[[#This Row],[L_Sn]]*(TabTRADER[[#This Row],[Agiotage]]-TabTRADER[[#This Row],[M]])/(TabTRADER[[#This Row],[L_Bn]]*TabTRADER[[#This Row],[M]])</f>
        <v>-0.93247916345668513</v>
      </c>
      <c r="AY27" s="690">
        <f ca="1">IFERROR((TabTRADER[[#This Row],[M]]-TabTRADER[[#This Row],[A]])/TabTRADER[[#This Row],[A]],0)</f>
        <v>2.2359352293958894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0.34952128131294535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+1,973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16.3%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6,150$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2,310$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19.1% = 0</v>
      </c>
      <c r="I28" s="245" t="str">
        <f ca="1">IFERROR(TRUNC(TabCalc[[#This Row],[L_S1p]],2)&amp;"x"&amp;TabCalc[[#This Row],[L_S1n]]&amp;"=   "&amp;TEXT(TabCalc[[#This Row],[ReverseB1]],"#,#0"),"")</f>
        <v>5.89x3000=   -495</v>
      </c>
      <c r="J28" s="318">
        <f ca="1">_xlfn.XLOOKUP(TabTRADER[[#This Row],[ClickTick]],TabCalc[Ticker],ListGravity)</f>
        <v>0.8359735755573906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0.9738413012271655</v>
      </c>
      <c r="N28" s="347" cm="1">
        <f t="array" aca="1" ref="N28" ca="1">_xlfn.XLOOKUP(TabTRADER[[#This Row],[ClickTick]],ListTickers,Tab2RSIConventional[RSIConv20])</f>
        <v>78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0.19468066215496319</v>
      </c>
      <c r="S28" s="743">
        <f ca="1">_xlfn.XLOOKUP(TabTRADER[[#This Row],[ClickTick]],SORTING!AG$3:AG$95,SORTING!AH$3:AH$95)*(1-Commission)</f>
        <v>1968.4665</v>
      </c>
      <c r="T28" s="866">
        <f ca="1">_xlfn.XLOOKUP(TabTRADER[[#This Row],[ClickTick]],TabCalc[Ticker],TabCalc[Agiotage])</f>
        <v>0.9738413012271655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-10&lt;=-10 / -0.6%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6.0549999999999997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-5.7469999999999995E-3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0.1882514450867051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2304.2249999999985</v>
      </c>
      <c r="AJ28" s="1144">
        <f ca="1">_xlfn.XLOOKUP(TabTRADER[[#This Row],[ClickTick]],TabCalc[Ticker],TabCalc[Ann%RevLB])</f>
        <v>0.30739051919204713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0.19218066215496318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2351.6888616498627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2.1%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2,000x0.98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0.1941939604995758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-0.16545623451692815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-0.23571428571428557</v>
      </c>
      <c r="AW28" s="796">
        <f ca="1">TabTRADER[[#This Row],[L_Sn]]*(TabTRADER[[#This Row],[M]]-TabTRADER[[#This Row],[L_Sp]])*(1-Commission)*TabTRADER[[#This Row],[Scale]]</f>
        <v>2304.2249999999985</v>
      </c>
      <c r="AX28" s="754">
        <f ca="1">TabTRADER[[#This Row],[L_Sn]]*(TabTRADER[[#This Row],[Agiotage]]-TabTRADER[[#This Row],[M]])/(TabTRADER[[#This Row],[L_Bn]]*TabTRADER[[#This Row],[M]])</f>
        <v>-0.83916741515653748</v>
      </c>
      <c r="AY28" s="690">
        <f ca="1">IFERROR((TabTRADER[[#This Row],[M]]-TabTRADER[[#This Row],[A]])/TabTRADER[[#This Row],[A]],0)</f>
        <v>0.19468066215496319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1,968$</v>
      </c>
      <c r="BA28" s="744">
        <f ca="1">_xlfn.XLOOKUP(TabTRADER[[#This Row],[ClickTick]],TabCalc[[#This Row],[Ticker]],TabCalc[[#This Row],[GL]])*(1-Commission)</f>
        <v>14472.62775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0.19075144508670511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-5.0811586987728344E-3</v>
      </c>
      <c r="BL28" s="749">
        <f ca="1">(TabTRADER[[#This Row],[M]]-TabTRADER[[#This Row],[Agiotage]])/(TabTRADER[[#This Row],[M]]-TabTRADER[[#This Row],[A]])-1</f>
        <v>4.1496490308835865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-53,520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-75.9%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-23,620$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-97,095$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275.3% = 77</v>
      </c>
      <c r="I29" s="245" t="str">
        <f ca="1">IFERROR(TRUNC(TabCalc[[#This Row],[L_S1p]],2)&amp;"x"&amp;TabCalc[[#This Row],[L_S1n]]&amp;"=   "&amp;TEXT(TabCalc[[#This Row],[ReverseB1]],"#,#0"),"")</f>
        <v>125.31x2800=   285,040</v>
      </c>
      <c r="J29" s="318">
        <f ca="1">_xlfn.XLOOKUP(TabTRADER[[#This Row],[ClickTick]],TabCalc[Ticker],ListGravity)</f>
        <v>1.8821777966822628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277418</v>
      </c>
      <c r="M29" s="346">
        <f ca="1">_xlfn.XLOOKUP(TabTRADER[[#This Row],[ClickTick]],TabCalc[Ticker],TabCalc[Agiotage])</f>
        <v>3.179281276546623</v>
      </c>
      <c r="N29" s="347" cm="1">
        <f t="array" aca="1" ref="N29" ca="1">_xlfn.XLOOKUP(TabTRADER[[#This Row],[ClickTick]],ListTickers,Tab2RSIConventional[RSIConv20])</f>
        <v>20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-0.4314389359129383</v>
      </c>
      <c r="S29" s="743">
        <f ca="1">_xlfn.XLOOKUP(TabTRADER[[#This Row],[ClickTick]],SORTING!AG$3:AG$95,SORTING!AH$3:AH$95)*(1-Commission)</f>
        <v>-53386.200000000004</v>
      </c>
      <c r="T29" s="866">
        <f ca="1">_xlfn.XLOOKUP(TabTRADER[[#This Row],[ClickTick]],TabCalc[Ticker],TabCalc[Agiotage])</f>
        <v>3.179281276546623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-20,580&lt;=-20,580 / -7.4%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23.51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-7.4045E-2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Pile-531/282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0.75632603147596766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-0.68724786251618486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0.75882603147596761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53386.2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2.0449409471147026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576179.97989999992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-17.84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-0.67017618394888778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2.0449409471147026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0.73356754306436978</v>
      </c>
      <c r="AW29" s="796">
        <f ca="1">TabTRADER[[#This Row],[L_Sn]]*(TabTRADER[[#This Row],[M]]-TabTRADER[[#This Row],[L_Sp]])*(1-Commission)*TabTRADER[[#This Row],[Scale]]</f>
        <v>-96852.262499999997</v>
      </c>
      <c r="AX29" s="754">
        <f ca="1">TabTRADER[[#This Row],[L_Sn]]*(TabTRADER[[#This Row],[Agiotage]]-TabTRADER[[#This Row],[M]])/(TabTRADER[[#This Row],[L_Bn]]*TabTRADER[[#This Row],[M]])</f>
        <v>-0.43238449007769841</v>
      </c>
      <c r="AY29" s="690">
        <f ca="1">IFERROR((TabTRADER[[#This Row],[M]]-TabTRADER[[#This Row],[A]])/TabTRADER[[#This Row],[A]],0)</f>
        <v>-0.67185582350765694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-576,180$</v>
      </c>
      <c r="BA29" s="744">
        <f ca="1">_xlfn.XLOOKUP(TabTRADER[[#This Row],[ClickTick]],TabCalc[[#This Row],[Ticker]],TabCalc[[#This Row],[GL]])*(1-Commission)</f>
        <v>-529754.265075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0.75882603147596761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-1.5248039042590034E-2</v>
      </c>
      <c r="BL29" s="749">
        <f ca="1">(TabTRADER[[#This Row],[M]]-TabTRADER[[#This Row],[Agiotage]])/(TabTRADER[[#This Row],[M]]-TabTRADER[[#This Row],[A]])-1</f>
        <v>-1.4223657739062254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+19,721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25.8%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38/10,200=19,392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19,671$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2,040$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30" s="245" t="str">
        <f ca="1">IFERROR(TRUNC(TabCalc[[#This Row],[L_S1p]],2)&amp;"x"&amp;TabCalc[[#This Row],[L_S1n]]&amp;"=   "&amp;TEXT(TabCalc[[#This Row],[ReverseB1]],"#,#0"),"")</f>
        <v>491.47x150=   -2,764</v>
      </c>
      <c r="J30" s="318">
        <f ca="1">_xlfn.XLOOKUP(TabTRADER[[#This Row],[ClickTick]],TabCalc[Ticker],ListGravity)</f>
        <v>1.2039450872720143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101980</v>
      </c>
      <c r="M30" s="346">
        <f ca="1">_xlfn.XLOOKUP(TabTRADER[[#This Row],[ClickTick]],TabCalc[Ticker],TabCalc[Agiotage])</f>
        <v>1.1464970251381266</v>
      </c>
      <c r="N30" s="347" cm="1">
        <f t="array" aca="1" ref="N30" ca="1">_xlfn.XLOOKUP(TabTRADER[[#This Row],[ClickTick]],ListTickers,Tab2RSIConventional[RSIConv20])</f>
        <v>64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0.34740903205348406</v>
      </c>
      <c r="S30" s="743">
        <f ca="1">_xlfn.XLOOKUP(TabTRADER[[#This Row],[ClickTick]],SORTING!AG$3:AG$95,SORTING!AH$3:AH$95)*(1-Commission)</f>
        <v>19671.198749999996</v>
      </c>
      <c r="T30" s="866">
        <f ca="1">_xlfn.XLOOKUP(TabTRADER[[#This Row],[ClickTick]],TabCalc[Ticker],TabCalc[Agiotage])</f>
        <v>1.1464970251381266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33,150&lt;=33,150 / 1.8%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509.9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1.7743999999999999E-2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^4,080/5,201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2.4171896450284305E-2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2034.8999999999951</v>
      </c>
      <c r="AJ30" s="1144">
        <f ca="1">_xlfn.XLOOKUP(TabTRADER[[#This Row],[ClickTick]],TabCalc[Ticker],TabCalc[Ann%RevLB])</f>
        <v>0.84504899688685309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0.59585739488685296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3104264.7315494777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150x190.88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0.59686150139963579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-0.37685769797230512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-2.7402780576264288E-2</v>
      </c>
      <c r="AW30" s="796">
        <f ca="1">TabTRADER[[#This Row],[L_Sn]]*(TabTRADER[[#This Row],[M]]-TabTRADER[[#This Row],[L_Sp]])*(1-Commission)*TabTRADER[[#This Row],[Scale]]</f>
        <v>2034.8999999999951</v>
      </c>
      <c r="AX30" s="754">
        <f ca="1">TabTRADER[[#This Row],[L_Sn]]*(TabTRADER[[#This Row],[Agiotage]]-TabTRADER[[#This Row],[M]])/(TabTRADER[[#This Row],[L_Bn]]*TabTRADER[[#This Row],[M]])</f>
        <v>-0.99775152574007031</v>
      </c>
      <c r="AY30" s="690">
        <f ca="1">IFERROR((TabTRADER[[#This Row],[M]]-TabTRADER[[#This Row],[A]])/TabTRADER[[#This Row],[A]],0)</f>
        <v>0.59835739488685291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1,942,159$</v>
      </c>
      <c r="BA30" s="744">
        <f ca="1">_xlfn.XLOOKUP(TabTRADER[[#This Row],[ClickTick]],TabCalc[[#This Row],[Ticker]],TabCalc[[#This Row],[GL]])*(1-Commission)</f>
        <v>4069468.8898500004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2.6671896450284303E-2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-3.4415678142417123</v>
      </c>
      <c r="BL30" s="749">
        <f ca="1">(TabTRADER[[#This Row],[M]]-TabTRADER[[#This Row],[Agiotage]])/(TabTRADER[[#This Row],[M]]-TabTRADER[[#This Row],[A]])-1</f>
        <v>1.6652357655374934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+2,638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1,330</v>
      </c>
      <c r="F31" s="245" t="str">
        <f ca="1">TRUNC(TabCalc[[#This Row],[L_B1p]],2)&amp;"x"&amp;TabCalc[[#This Row],[L_B1n]]&amp;"=   "&amp;TEXT(TabCalc[[#This Row],[ReverseS1]],"#,#0")&amp;"$"</f>
        <v>-72.56x3000=   -2,700$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-3,760$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1,330</v>
      </c>
      <c r="I31" s="245" t="str">
        <f ca="1">IFERROR(TRUNC(TabCalc[[#This Row],[L_S1p]],2)&amp;"x"&amp;TabCalc[[#This Row],[L_S1n]]&amp;"=   "&amp;TEXT(TabCalc[[#This Row],[ReverseB1]],"#,#0"),"")</f>
        <v>76.21x3000=   13,650</v>
      </c>
      <c r="J31" s="318">
        <f ca="1">_xlfn.XLOOKUP(TabTRADER[[#This Row],[ClickTick]],TabCalc[Ticker],ListGravity)</f>
        <v>1.1483968741278261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0.95237938910510245</v>
      </c>
      <c r="N31" s="347" cm="1">
        <f t="array" aca="1" ref="N31" ca="1">_xlfn.XLOOKUP(TabTRADER[[#This Row],[ClickTick]],ListTickers,Tab2RSIConventional[RSIConv20])</f>
        <v>22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9.2894772501629658E-3</v>
      </c>
      <c r="S31" s="743">
        <f ca="1">_xlfn.XLOOKUP(TabTRADER[[#This Row],[ClickTick]],SORTING!AG$3:AG$95,SORTING!AH$3:AH$95)*(1-Commission)</f>
        <v>2631.6324299999696</v>
      </c>
      <c r="T31" s="866">
        <f ca="1">_xlfn.XLOOKUP(TabTRADER[[#This Row],[ClickTick]],TabCalc[Ticker],TabCalc[Agiotage])</f>
        <v>0.95237938910510245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2,142&lt;=2,142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71.66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4.7670000000000004E-3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^45/301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2631.6324299999696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9.2894772501629658E-3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1.6721059050293339</v>
      </c>
      <c r="AK31" s="1143">
        <f ca="1">_xlfn.XLOOKUP(TabTRADER[[#This Row],[ClickTick]],TabCalc[Ticker],TabCalc[Up20])</f>
        <v>0.47619047619047616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2472.2750584584783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-1.066763021144825E-2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4.9854150092813646E-2</v>
      </c>
      <c r="AW31" s="796">
        <f ca="1">TabTRADER[[#This Row],[L_Sn]]*(TabTRADER[[#This Row],[M]]-TabTRADER[[#This Row],[L_Sp]])*(1-Commission)*TabTRADER[[#This Row],[Scale]]</f>
        <v>-3750.6000000000054</v>
      </c>
      <c r="AX31" s="754">
        <f ca="1">TabTRADER[[#This Row],[L_Sn]]*(TabTRADER[[#This Row],[Agiotage]]-TabTRADER[[#This Row],[M]])/(TabTRADER[[#This Row],[L_Bn]]*TabTRADER[[#This Row],[M]])</f>
        <v>-0.24667743724146979</v>
      </c>
      <c r="AY31" s="690">
        <f ca="1">IFERROR((TabTRADER[[#This Row],[M]]-TabTRADER[[#This Row],[A]])/TabTRADER[[#This Row],[A]],0)</f>
        <v>8.2348897457233654E-3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2,452$</v>
      </c>
      <c r="BA31" s="744">
        <f ca="1">_xlfn.XLOOKUP(TabTRADER[[#This Row],[ClickTick]],TabCalc[[#This Row],[Ticker]],TabCalc[[#This Row],[GL]])*(1-Commission)</f>
        <v>44744.380694999971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-8.7542768375393668E-2</v>
      </c>
      <c r="BL31" s="749">
        <f ca="1">(TabTRADER[[#This Row],[M]]-TabTRADER[[#This Row],[Agiotage]])/(TabTRADER[[#This Row],[M]]-TabTRADER[[#This Row],[A]])-1</f>
        <v>119.8073484500861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+23,295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29.4%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215/14,200=17,013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29,285$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10$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32" s="245" t="str">
        <f ca="1">IFERROR(TRUNC(TabCalc[[#This Row],[L_S1p]],2)&amp;"x"&amp;TabCalc[[#This Row],[L_S1n]]&amp;"=   "&amp;TEXT(TabCalc[[#This Row],[ReverseB1]],"#,#0"),"")</f>
        <v>70.12x2000=   -18,290</v>
      </c>
      <c r="J32" s="318">
        <f ca="1">_xlfn.XLOOKUP(TabTRADER[[#This Row],[ClickTick]],TabCalc[Ticker],ListGravity)</f>
        <v>0.92379663155238756</v>
      </c>
      <c r="K32" s="345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6">
        <f ca="1">_xlfn.XLOOKUP(TabTRADER[[#This Row],[ClickTick]],TabCalc[Ticker],TabCalc[Agiotage])</f>
        <v>0.94519567236959046</v>
      </c>
      <c r="N32" s="347" cm="1">
        <f t="array" aca="1" ref="N32" ca="1">_xlfn.XLOOKUP(TabTRADER[[#This Row],[ClickTick]],ListTickers,Tab2RSIConventional[RSIConv20])</f>
        <v>85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0.41620510988029308</v>
      </c>
      <c r="S32" s="743">
        <f ca="1">_xlfn.XLOOKUP(TabTRADER[[#This Row],[ClickTick]],SORTING!AG$3:AG$95,SORTING!AH$3:AH$95)*(1-Commission)</f>
        <v>23236.762500000001</v>
      </c>
      <c r="T32" s="866">
        <f ca="1">_xlfn.XLOOKUP(TabTRADER[[#This Row],[ClickTick]],TabCalc[Ticker],TabCalc[Agiotage])</f>
        <v>0.94519567236959046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-6,461&lt;=-6,461 / -0.5%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79.265000000000001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-4.8339999999999998E-3</v>
      </c>
      <c r="AC32" s="842">
        <f ca="1">_xlfn.XLOOKUP(TabTRADER[[#This Row],[ClickTick]],TabCalc[Ticker],TabCalc[NAfter])</f>
        <v>14200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^1,108/1,126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-2.436920456695951E-3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9.9749999999909278</v>
      </c>
      <c r="AJ32" s="1144">
        <f ca="1">_xlfn.XLOOKUP(TabTRADER[[#This Row],[ClickTick]],TabCalc[Ticker],TabCalc[Ann%RevLB])</f>
        <v>2.5395566026594154</v>
      </c>
      <c r="AK32" s="1143">
        <f ca="1">_xlfn.XLOOKUP(TabTRADER[[#This Row],[ClickTick]],TabCalc[Ticker],TabCalc[Up20])</f>
        <v>0.61904761904761907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0.72203663988836997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813472.85491766664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1,000x33.3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0.72272529828864907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-0.42263409464890783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79.260000000000005</v>
      </c>
      <c r="AV32" s="837">
        <f ca="1">-IFERROR((TabTRADER[[#This Row],[M]]-TabTRADER[[#This Row],[L_Sp]])/TabTRADER[[#This Row],[L_Sp]],0)</f>
        <v>-6.3083522583843704E-5</v>
      </c>
      <c r="AW32" s="796">
        <f ca="1">TabTRADER[[#This Row],[L_Sn]]*(TabTRADER[[#This Row],[M]]-TabTRADER[[#This Row],[L_Sp]])*(1-Commission)*TabTRADER[[#This Row],[Scale]]</f>
        <v>9.9749999999909278</v>
      </c>
      <c r="AX32" s="754">
        <f ca="1">TabTRADER[[#This Row],[L_Sn]]*(TabTRADER[[#This Row],[Agiotage]]-TabTRADER[[#This Row],[M]])/(TabTRADER[[#This Row],[L_Bn]]*TabTRADER[[#This Row],[M]])</f>
        <v>-1.9761509954615633</v>
      </c>
      <c r="AY32" s="690">
        <f ca="1">IFERROR((TabTRADER[[#This Row],[M]]-TabTRADER[[#This Row],[A]])/TabTRADER[[#This Row],[A]],0)</f>
        <v>0.72453663988836992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471,705$</v>
      </c>
      <c r="BA32" s="744">
        <f ca="1">_xlfn.XLOOKUP(TabTRADER[[#This Row],[ClickTick]],TabCalc[[#This Row],[Ticker]],TabCalc[[#This Row],[GL]])*(1-Commission)</f>
        <v>1104927.029325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6.3079543304049113E-5</v>
      </c>
      <c r="BG32" s="737">
        <f ca="1">TabTRADER[[#This Row],[L_Sn]]*TabTRADER[[#This Row],[L_Sp]]+TabTRADER[[#This Row],[SellMore]]</f>
        <v>159520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-4.4675381341817345E-2</v>
      </c>
      <c r="BL32" s="749">
        <f ca="1">(TabTRADER[[#This Row],[M]]-TabTRADER[[#This Row],[Agiotage]])/(TabTRADER[[#This Row],[M]]-TabTRADER[[#This Row],[A]])-1</f>
        <v>1.3518098395620179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-8,220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-1.7%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156</v>
      </c>
      <c r="F33" s="245" t="str">
        <f ca="1">TRUNC(TabCalc[[#This Row],[L_B1p]],2)&amp;"x"&amp;TabCalc[[#This Row],[L_B1n]]&amp;"=   "&amp;TEXT(TabCalc[[#This Row],[ReverseS1]],"#,#0")&amp;"$"</f>
        <v>-957.53x200=   46,182$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-6,416$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156</v>
      </c>
      <c r="I33" s="245" t="str">
        <f ca="1">IFERROR(TRUNC(TabCalc[[#This Row],[L_S1p]],2)&amp;"x"&amp;TabCalc[[#This Row],[L_S1n]]&amp;"=   "&amp;TEXT(TabCalc[[#This Row],[ReverseB1]],"#,#0"),"")</f>
        <v>1222.17x200=   6,746</v>
      </c>
      <c r="J33" s="318">
        <f ca="1">_xlfn.XLOOKUP(TabTRADER[[#This Row],[ClickTick]],TabCalc[Ticker],ListGravity)</f>
        <v>1.1362088115512772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1.3793701530863187</v>
      </c>
      <c r="N33" s="347" cm="1">
        <f t="array" aca="1" ref="N33" ca="1">_xlfn.XLOOKUP(TabTRADER[[#This Row],[ClickTick]],ListTickers,Tab2RSIConventional[RSIConv20])</f>
        <v>44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-1.6997659203136464E-2</v>
      </c>
      <c r="S33" s="743">
        <f ca="1">_xlfn.XLOOKUP(TabTRADER[[#This Row],[ClickTick]],SORTING!AG$3:AG$95,SORTING!AH$3:AH$95)*(1-Commission)</f>
        <v>-8199.4499999999825</v>
      </c>
      <c r="T33" s="866">
        <f ca="1">_xlfn.XLOOKUP(TabTRADER[[#This Row],[ClickTick]],TabCalc[Ticker],TabCalc[Agiotage])</f>
        <v>1.3793701530863187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-8,769&lt;=-8,769 / -1.3%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1188.44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-1.2514000000000001E-2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Pile^1,534/713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1.4791575510753554E-2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-0.10927066630587727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1.7291575510753554E-2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8199.4499999999825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-5.5737858032378566E-2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-37867.094999999987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-20.55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5.6090924038145334E-2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-5.5737858032378566E-2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2.6283879002392364E-2</v>
      </c>
      <c r="AW33" s="796">
        <f ca="1">TabTRADER[[#This Row],[L_Sn]]*(TabTRADER[[#This Row],[M]]-TabTRADER[[#This Row],[L_Sp]])*(1-Commission)*TabTRADER[[#This Row],[Scale]]</f>
        <v>-6399.9599999999855</v>
      </c>
      <c r="AX33" s="754">
        <f ca="1">TabTRADER[[#This Row],[L_Sn]]*(TabTRADER[[#This Row],[Agiotage]]-TabTRADER[[#This Row],[M]])/(TabTRADER[[#This Row],[L_Bn]]*TabTRADER[[#This Row],[M]])</f>
        <v>-0.4994196719425944</v>
      </c>
      <c r="AY33" s="690">
        <f ca="1">IFERROR((TabTRADER[[#This Row],[M]]-TabTRADER[[#This Row],[A]])/TabTRADER[[#This Row],[A]],0)</f>
        <v>5.6231502795133163E-2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37,867$</v>
      </c>
      <c r="BA33" s="744">
        <f ca="1">_xlfn.XLOOKUP(TabTRADER[[#This Row],[ClickTick]],TabCalc[[#This Row],[Ticker]],TabCalc[[#This Row],[GL]])*(1-Commission)</f>
        <v>1530477.207525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1.7291575510753554E-2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-7.9137375323127586</v>
      </c>
      <c r="BL33" s="749">
        <f ca="1">(TabTRADER[[#This Row],[M]]-TabTRADER[[#This Row],[Agiotage]])/(TabTRADER[[#This Row],[M]]-TabTRADER[[#This Row],[A]])-1</f>
        <v>17.761824400931154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-2,063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-18.0%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-9.85x24167=   -127,541$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6.8852459016393439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1.2741240486159375</v>
      </c>
      <c r="N34" s="347" cm="1">
        <f t="array" aca="1" ref="N34" ca="1">_xlfn.XLOOKUP(TabTRADER[[#This Row],[ClickTick]],ListTickers,Tab2RSIConventional[RSIConv20])</f>
        <v>33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2500</v>
      </c>
      <c r="Q34" s="795">
        <f ca="1">_xlfn.XLOOKUP(TabTRADER[[#This Row],[ClickTick]],TabCalc[Ticker],TabCalc[L_Bp])</f>
        <v>-5.4</v>
      </c>
      <c r="R34" s="837">
        <f ca="1">(TabTRADER[[#This Row],[M]]+TabTRADER[[#This Row],[L_Bp]])/ABS(TabTRADER[[#This Row],[L_Bp]])</f>
        <v>-0.15277777777777779</v>
      </c>
      <c r="S34" s="743">
        <f ca="1">_xlfn.XLOOKUP(TabTRADER[[#This Row],[ClickTick]],SORTING!AG$3:AG$95,SORTING!AH$3:AH$95)*(1-Commission)</f>
        <v>-2057.3437500000005</v>
      </c>
      <c r="T34" s="866">
        <f ca="1">_xlfn.XLOOKUP(TabTRADER[[#This Row],[ClickTick]],TabCalc[Ticker],TabCalc[Agiotage])</f>
        <v>1.2741240486159375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-9,733&lt;=-9,733 / -10.3%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4.5750000000000002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-0.102941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Pile-130/122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0.17782786885245905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-6.1111111111111116</v>
      </c>
      <c r="AK34" s="1143">
        <f ca="1">_xlfn.XLOOKUP(TabTRADER[[#This Row],[ClickTick]],TabCalc[Ticker],TabCalc[Up20])</f>
        <v>0.42857142857142855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0.18032786885245905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2057.3437500000005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1.1510519125683059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140383.25476874999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-0.82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-0.53431172291296625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1.1510519125683059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-0.53565085003806134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-140,383$</v>
      </c>
      <c r="BA34" s="744">
        <f ca="1">_xlfn.XLOOKUP(TabTRADER[[#This Row],[ClickTick]],TabCalc[[#This Row],[Ticker]],TabCalc[[#This Row],[GL]])*(1-Commission)</f>
        <v>-129279.83289374999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0.18032786885245905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-1.6254620466857532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+9,160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25.0%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546/4,000=20,027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12,270$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4,660$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-12.7% = 0</v>
      </c>
      <c r="I35" s="245" t="str">
        <f ca="1">IFERROR(TRUNC(TabCalc[[#This Row],[L_S1p]],2)&amp;"x"&amp;TabCalc[[#This Row],[L_S1n]]&amp;"=   "&amp;TEXT(TabCalc[[#This Row],[ReverseB1]],"#,#0"),"")</f>
        <v>30.68x3000=   -18,030</v>
      </c>
      <c r="J35" s="318">
        <f ca="1">_xlfn.XLOOKUP(TabTRADER[[#This Row],[ClickTick]],TabCalc[Ticker],ListGravity)</f>
        <v>1.0186699373126193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36690</v>
      </c>
      <c r="M35" s="346">
        <f ca="1">_xlfn.XLOOKUP(TabTRADER[[#This Row],[ClickTick]],TabCalc[Ticker],TabCalc[Agiotage])</f>
        <v>1.2569074724340359</v>
      </c>
      <c r="N35" s="347" cm="1">
        <f t="array" aca="1" ref="N35" ca="1">_xlfn.XLOOKUP(TabTRADER[[#This Row],[ClickTick]],ListTickers,Tab2RSIConventional[RSIConv20])</f>
        <v>72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0.33272793316382115</v>
      </c>
      <c r="S35" s="743">
        <f ca="1">_xlfn.XLOOKUP(TabTRADER[[#This Row],[ClickTick]],SORTING!AG$3:AG$95,SORTING!AH$3:AH$95)*(1-Commission)</f>
        <v>9137.0999999999967</v>
      </c>
      <c r="T35" s="866">
        <f ca="1">_xlfn.XLOOKUP(TabTRADER[[#This Row],[ClickTick]],TabCalc[Ticker],TabCalc[Agiotage])</f>
        <v>1.2569074724340359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-3,160&lt;=-3,160 / -0.4%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36.69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-3.5310000000000003E-3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0.12451008449168702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4648.3499999999967</v>
      </c>
      <c r="AJ35" s="1144">
        <f ca="1">_xlfn.XLOOKUP(TabTRADER[[#This Row],[ClickTick]],TabCalc[Ticker],TabCalc[Ann%RevLB])</f>
        <v>1.5556111160905925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0.49704020639623975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73129.23938898537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1,000x12.22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0.4982913558802492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-0.33562891796129729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-0.14548860443334363</v>
      </c>
      <c r="AW35" s="796">
        <f ca="1">TabTRADER[[#This Row],[L_Sn]]*(TabTRADER[[#This Row],[M]]-TabTRADER[[#This Row],[L_Sp]])*(1-Commission)*TabTRADER[[#This Row],[Scale]]</f>
        <v>4648.3499999999967</v>
      </c>
      <c r="AX35" s="754">
        <f ca="1">TabTRADER[[#This Row],[L_Sn]]*(TabTRADER[[#This Row],[Agiotage]]-TabTRADER[[#This Row],[M]])/(TabTRADER[[#This Row],[L_Bn]]*TabTRADER[[#This Row],[M]])</f>
        <v>-0.96574250552101282</v>
      </c>
      <c r="AY35" s="690">
        <f ca="1">IFERROR((TabTRADER[[#This Row],[M]]-TabTRADER[[#This Row],[A]])/TabTRADER[[#This Row],[A]],0)</f>
        <v>0.49954020639623975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48,768$</v>
      </c>
      <c r="BA35" s="744">
        <f ca="1">_xlfn.XLOOKUP(TabTRADER[[#This Row],[ClickTick]],TabCalc[[#This Row],[Ticker]],TabCalc[[#This Row],[GL]])*(1-Commission)</f>
        <v>76964.406749999995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0.12701008449168702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-4.4291365659457446E-2</v>
      </c>
      <c r="BL35" s="749">
        <f ca="1">(TabTRADER[[#This Row],[M]]-TabTRADER[[#This Row],[Agiotage]])/(TabTRADER[[#This Row],[M]]-TabTRADER[[#This Row],[A]])-1</f>
        <v>1.8990053203162995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-4,370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-54.1%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-7,980$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-5,780$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71.5% = 1,730</v>
      </c>
      <c r="I36" s="245" t="str">
        <f ca="1">IFERROR(TRUNC(TabCalc[[#This Row],[L_S1p]],2)&amp;"x"&amp;TabCalc[[#This Row],[L_S1n]]&amp;"=   "&amp;TEXT(TabCalc[[#This Row],[ReverseB1]],"#,#0"),"")</f>
        <v>10.47x10000=   64,353</v>
      </c>
      <c r="J36" s="318">
        <f ca="1">_xlfn.XLOOKUP(TabTRADER[[#This Row],[ClickTick]],TabCalc[Ticker],ListGravity)</f>
        <v>2.995049504950495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0.42163988474349978</v>
      </c>
      <c r="N36" s="347" cm="1">
        <f t="array" aca="1" ref="N36" ca="1">_xlfn.XLOOKUP(TabTRADER[[#This Row],[ClickTick]],ListTickers,Tab2RSIConventional[RSIConv20])</f>
        <v>28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-0.35099359025847804</v>
      </c>
      <c r="S36" s="743">
        <f ca="1">_xlfn.XLOOKUP(TabTRADER[[#This Row],[ClickTick]],SORTING!AG$3:AG$95,SORTING!AH$3:AH$95)*(1-Commission)</f>
        <v>-4358.8754999999992</v>
      </c>
      <c r="T36" s="866">
        <f ca="1">_xlfn.XLOOKUP(TabTRADER[[#This Row],[ClickTick]],TabCalc[Ticker],TabCalc[Agiotage])</f>
        <v>0.42163988474349978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60&lt;=60 / 2.0%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4.04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2.0202000000000001E-2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5765.5499999999993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0.41702741702741702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-0.59602685138232114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4358.8754999999992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-0.35011610628283185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0.53831683168316835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0.41702741702741702</v>
      </c>
      <c r="AW36" s="796">
        <f ca="1">TabTRADER[[#This Row],[L_Sn]]*(TabTRADER[[#This Row],[M]]-TabTRADER[[#This Row],[L_Sp]])*(1-Commission)*TabTRADER[[#This Row],[Scale]]</f>
        <v>-5765.5499999999993</v>
      </c>
      <c r="AX36" s="754">
        <f ca="1">TabTRADER[[#This Row],[L_Sn]]*(TabTRADER[[#This Row],[Agiotage]]-TabTRADER[[#This Row],[M]])/(TabTRADER[[#This Row],[L_Bn]]*TabTRADER[[#This Row],[M]])</f>
        <v>-0.89563369189517328</v>
      </c>
      <c r="AY36" s="690">
        <f ca="1">IFERROR((TabTRADER[[#This Row],[M]]-TabTRADER[[#This Row],[A]])/TabTRADER[[#This Row],[A]],0)</f>
        <v>-0.35099359025847804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-4,359$</v>
      </c>
      <c r="BA36" s="744">
        <f ca="1">_xlfn.XLOOKUP(TabTRADER[[#This Row],[ClickTick]],TabCalc[[#This Row],[Ticker]],TabCalc[[#This Row],[GL]])*(1-Commission)</f>
        <v>-1847.9884499999737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-3.6183601152565002E-3</v>
      </c>
      <c r="BL36" s="749">
        <f ca="1">(TabTRADER[[#This Row],[M]]-TabTRADER[[#This Row],[Agiotage]])/(TabTRADER[[#This Row],[M]]-TabTRADER[[#This Row],[A]])-1</f>
        <v>-2.6560758456938536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+300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2.3%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10,220$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-3,150$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24.0% = 3,968</v>
      </c>
      <c r="I37" s="245" t="str">
        <f ca="1">IFERROR(TRUNC(TabCalc[[#This Row],[L_S1p]],2)&amp;"x"&amp;TabCalc[[#This Row],[L_S1n]]&amp;"=   "&amp;TEXT(TabCalc[[#This Row],[ReverseB1]],"#,#0"),"")</f>
        <v>9.06x2500=   9,550</v>
      </c>
      <c r="J37" s="318">
        <f ca="1">_xlfn.XLOOKUP(TabTRADER[[#This Row],[ClickTick]],TabCalc[Ticker],ListGravity)</f>
        <v>1.2659026717557251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26200</v>
      </c>
      <c r="M37" s="346">
        <f ca="1">_xlfn.XLOOKUP(TabTRADER[[#This Row],[ClickTick]],TabCalc[Ticker],TabCalc[Agiotage])</f>
        <v>0.79450942441704131</v>
      </c>
      <c r="N37" s="347" cm="1">
        <f t="array" aca="1" ref="N37" ca="1">_xlfn.XLOOKUP(TabTRADER[[#This Row],[ClickTick]],ListTickers,Tab2RSIConventional[RSIConv20])</f>
        <v>35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2.3437500000000021E-2</v>
      </c>
      <c r="S37" s="743">
        <f ca="1">_xlfn.XLOOKUP(TabTRADER[[#This Row],[ClickTick]],SORTING!AG$3:AG$95,SORTING!AH$3:AH$95)*(1-Commission)</f>
        <v>299.25000000000028</v>
      </c>
      <c r="T37" s="866">
        <f ca="1">_xlfn.XLOOKUP(TabTRADER[[#This Row],[ClickTick]],TabCalc[Ticker],TabCalc[Agiotage])</f>
        <v>0.79450942441704131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-9,500&lt;=-9,500 / -1.7%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5.24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-1.6886000000000002E-2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-34/262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3142.1249999999995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0.19384615384615381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0.10680379746835453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28416.621508333315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-9.7823789800083258E-2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0.10623221798134003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0.19384615384615381</v>
      </c>
      <c r="AW37" s="796">
        <f ca="1">TabTRADER[[#This Row],[L_Sn]]*(TabTRADER[[#This Row],[M]]-TabTRADER[[#This Row],[L_Sp]])*(1-Commission)*TabTRADER[[#This Row],[Scale]]</f>
        <v>-3142.1249999999995</v>
      </c>
      <c r="AX37" s="754">
        <f ca="1">TabTRADER[[#This Row],[L_Sn]]*(TabTRADER[[#This Row],[Agiotage]]-TabTRADER[[#This Row],[M]])/(TabTRADER[[#This Row],[L_Bn]]*TabTRADER[[#This Row],[M]])</f>
        <v>-0.84837606404254928</v>
      </c>
      <c r="AY37" s="690">
        <f ca="1">IFERROR((TabTRADER[[#This Row],[M]]-TabTRADER[[#This Row],[A]])/TabTRADER[[#This Row],[A]],0)</f>
        <v>-9.8068962205597243E-2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-28,417$</v>
      </c>
      <c r="BA37" s="744">
        <f ca="1">_xlfn.XLOOKUP(TabTRADER[[#This Row],[ClickTick]],TabCalc[[#This Row],[Ticker]],TabCalc[[#This Row],[GL]])*(1-Commission)</f>
        <v>-34371.366225000012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-1.8671060417448427E-3</v>
      </c>
      <c r="BL37" s="749">
        <f ca="1">(TabTRADER[[#This Row],[M]]-TabTRADER[[#This Row],[Agiotage]])/(TabTRADER[[#This Row],[M]]-TabTRADER[[#This Row],[A]])-1</f>
        <v>-8.8024350077006837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-994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-16.1%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541$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-1,533$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49.5% = 9,804</v>
      </c>
      <c r="I38" s="245" t="str">
        <f ca="1">IFERROR(TRUNC(TabCalc[[#This Row],[L_S1p]],2)&amp;"x"&amp;TabCalc[[#This Row],[L_S1n]]&amp;"=   "&amp;TEXT(TabCalc[[#This Row],[ReverseB1]],"#,#0"),"")</f>
        <v>1.39x3006=   1,082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7210</v>
      </c>
      <c r="M38" s="346">
        <f ca="1">_xlfn.XLOOKUP(TabTRADER[[#This Row],[ClickTick]],TabCalc[Ticker],TabCalc[Agiotage])</f>
        <v>0.1061239405557194</v>
      </c>
      <c r="N38" s="347" cm="1">
        <f t="array" aca="1" ref="N38" ca="1">_xlfn.XLOOKUP(TabTRADER[[#This Row],[ClickTick]],ListTickers,Tab2RSIConventional[RSIConv20])</f>
        <v>43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-0.13843580092011709</v>
      </c>
      <c r="S38" s="743">
        <f ca="1">_xlfn.XLOOKUP(TabTRADER[[#This Row],[ClickTick]],SORTING!AG$3:AG$95,SORTING!AH$3:AH$95)*(1-Commission)</f>
        <v>-991.50801749999994</v>
      </c>
      <c r="T38" s="866">
        <f ca="1">_xlfn.XLOOKUP(TabTRADER[[#This Row],[ClickTick]],TabCalc[Ticker],TabCalc[Agiotage])</f>
        <v>0.1061239405557194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1.03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9.8040000000000002E-3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0.15817961165048541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-0.21389222459760579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0.16067961165048542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991.50801749999994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3.2781572815533899E-2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362.49169949999919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-1.3%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-0.16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-3.3994006855336746E-2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3.2781572815533899E-2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0.33116883116883117</v>
      </c>
      <c r="AW38" s="796">
        <f ca="1">TabTRADER[[#This Row],[L_Sn]]*(TabTRADER[[#This Row],[M]]-TabTRADER[[#This Row],[L_Sp]])*(1-Commission)*TabTRADER[[#This Row],[Scale]]</f>
        <v>-1529.2273500000001</v>
      </c>
      <c r="AX38" s="754">
        <f ca="1">TabTRADER[[#This Row],[L_Sn]]*(TabTRADER[[#This Row],[Agiotage]]-TabTRADER[[#This Row],[M]])/(TabTRADER[[#This Row],[L_Bn]]*TabTRADER[[#This Row],[M]])</f>
        <v>-0.44893155949059155</v>
      </c>
      <c r="AY38" s="690">
        <f ca="1">IFERROR((TabTRADER[[#This Row],[M]]-TabTRADER[[#This Row],[A]])/TabTRADER[[#This Row],[A]],0)</f>
        <v>-3.4079204867505507E-2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-362$</v>
      </c>
      <c r="BA38" s="744">
        <f ca="1">_xlfn.XLOOKUP(TabTRADER[[#This Row],[ClickTick]],TabCalc[[#This Row],[Ticker]],TabCalc[[#This Row],[GL]])*(1-Commission)</f>
        <v>-4199.6176424999967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0.16067961165048542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-3.9973160442888608E-4</v>
      </c>
      <c r="BL38" s="749">
        <f ca="1">(TabTRADER[[#This Row],[M]]-TabTRADER[[#This Row],[Agiotage]])/(TabTRADER[[#This Row],[M]]-TabTRADER[[#This Row],[A]])-1</f>
        <v>-26.423102668745994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+38,620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50.9%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259/2,000=9,829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6,579</v>
      </c>
      <c r="F39" s="245" t="str">
        <f ca="1">TRUNC(TabCalc[[#This Row],[L_B1p]],2)&amp;"x"&amp;TabCalc[[#This Row],[L_B1n]]&amp;"=   "&amp;TEXT(TabCalc[[#This Row],[ReverseS1]],"#,#0")&amp;"$"</f>
        <v>-19.38x6000=   37,149$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-760$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6,579</v>
      </c>
      <c r="I39" s="245" t="str">
        <f ca="1">IFERROR(TRUNC(TabCalc[[#This Row],[L_S1p]],2)&amp;"x"&amp;TabCalc[[#This Row],[L_S1n]]&amp;"=   "&amp;TEXT(TabCalc[[#This Row],[ReverseB1]],"#,#0"),"")</f>
        <v>41.42x1000=   3,460</v>
      </c>
      <c r="J39" s="318">
        <f ca="1">_xlfn.XLOOKUP(TabTRADER[[#This Row],[ClickTick]],TabCalc[Ticker],ListGravity)</f>
        <v>1.0097471022128555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0.44301253665774809</v>
      </c>
      <c r="N39" s="347" cm="1">
        <f t="array" aca="1" ref="N39" ca="1">_xlfn.XLOOKUP(TabTRADER[[#This Row],[ClickTick]],ListTickers,Tab2RSIConventional[RSIConv20])</f>
        <v>41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1.0353887399463808</v>
      </c>
      <c r="S39" s="743">
        <f ca="1">_xlfn.XLOOKUP(TabTRADER[[#This Row],[ClickTick]],SORTING!AG$3:AG$95,SORTING!AH$3:AH$95)*(1-Commission)</f>
        <v>38523.450000000012</v>
      </c>
      <c r="T39" s="866">
        <f ca="1">_xlfn.XLOOKUP(TabTRADER[[#This Row],[ClickTick]],TabCalc[Ticker],TabCalc[Agiotage])</f>
        <v>0.44301253665774809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360&lt;=360 / 0.4%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37.96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3.7019999999999996E-3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758.09999999999798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1.9628099173553668E-2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4.7182271693759121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-38523.450000000012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1.0328002680965149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-0.51119336143308747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1.9628099173553668E-2</v>
      </c>
      <c r="AW39" s="796">
        <f ca="1">TabTRADER[[#This Row],[L_Sn]]*(TabTRADER[[#This Row],[M]]-TabTRADER[[#This Row],[L_Sp]])*(1-Commission)*TabTRADER[[#This Row],[Scale]]</f>
        <v>-758.09999999999798</v>
      </c>
      <c r="AX39" s="754">
        <f ca="1">TabTRADER[[#This Row],[L_Sn]]*(TabTRADER[[#This Row],[Agiotage]]-TabTRADER[[#This Row],[M]])/(TabTRADER[[#This Row],[L_Bn]]*TabTRADER[[#This Row],[M]])</f>
        <v>-0.49416474530218985</v>
      </c>
      <c r="AY39" s="690">
        <f ca="1">IFERROR((TabTRADER[[#This Row],[M]]-TabTRADER[[#This Row],[A]])/TabTRADER[[#This Row],[A]],0)</f>
        <v>1.0353887399463808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38,523$</v>
      </c>
      <c r="BA39" s="744">
        <f ca="1">_xlfn.XLOOKUP(TabTRADER[[#This Row],[ClickTick]],TabCalc[[#This Row],[Ticker]],TabCalc[[#This Row],[GL]])*(1-Commission)</f>
        <v>136813.81822500014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-5.6275481195013383E-2</v>
      </c>
      <c r="BL39" s="749">
        <f ca="1">(TabTRADER[[#This Row],[M]]-TabTRADER[[#This Row],[Agiotage]])/(TabTRADER[[#This Row],[M]]-TabTRADER[[#This Row],[A]])-1</f>
        <v>0.94287868789965046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+378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21.0%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335$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8,224$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40" s="245" t="str">
        <f ca="1">IFERROR(TRUNC(TabCalc[[#This Row],[L_S1p]],2)&amp;"x"&amp;TabCalc[[#This Row],[L_S1n]]&amp;"=   "&amp;TEXT(TabCalc[[#This Row],[ReverseB1]],"#,#0"),"")</f>
        <v>32.24x1500=   -5,535</v>
      </c>
      <c r="J40" s="318">
        <f ca="1">_xlfn.XLOOKUP(TabTRADER[[#This Row],[ClickTick]],TabCalc[Ticker],ListGravity)</f>
        <v>1.1942975229613138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0.95258558395808868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0.26647867465632707</v>
      </c>
      <c r="S40" s="743">
        <f ca="1">_xlfn.XLOOKUP(TabTRADER[[#This Row],[ClickTick]],SORTING!AG$3:AG$95,SORTING!AH$3:AH$95)*(1-Commission)</f>
        <v>377.05499999999995</v>
      </c>
      <c r="T40" s="866">
        <f ca="1">_xlfn.XLOOKUP(TabTRADER[[#This Row],[ClickTick]],TabCalc[Ticker],TabCalc[Agiotage])</f>
        <v>0.95258558395808868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-1&lt;=-1 / 0.5%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35.93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5.0349999999999995E-3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128.17875000000001</v>
      </c>
      <c r="AJ40" s="1144">
        <f ca="1">_xlfn.XLOOKUP(TabTRADER[[#This Row],[ClickTick]],TabCalc[Ticker],TabCalc[Ann%RevLB])</f>
        <v>0.4634411733153514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0.26397867465632707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477.53211667254141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50x7.56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0.26581247796968627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-0.21290912886167546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-7.7038369304556362E-2</v>
      </c>
      <c r="AW40" s="796">
        <f ca="1">TabTRADER[[#This Row],[L_Sn]]*(TabTRADER[[#This Row],[M]]-TabTRADER[[#This Row],[L_Sp]])*(1-Commission)*TabTRADER[[#This Row],[Scale]]</f>
        <v>8203.44</v>
      </c>
      <c r="AX40" s="754">
        <f ca="1">TabTRADER[[#This Row],[L_Sn]]*(TabTRADER[[#This Row],[Agiotage]]-TabTRADER[[#This Row],[M]])/(TabTRADER[[#This Row],[L_Bn]]*TabTRADER[[#This Row],[M]])</f>
        <v>-0.77879019017070772</v>
      </c>
      <c r="AY40" s="690">
        <f ca="1">IFERROR((TabTRADER[[#This Row],[M]]-TabTRADER[[#This Row],[A]])/TabTRADER[[#This Row],[A]],0)</f>
        <v>0.26647867465632707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377$</v>
      </c>
      <c r="BA40" s="744">
        <f ca="1">_xlfn.XLOOKUP(TabTRADER[[#This Row],[ClickTick]],TabCalc[[#This Row],[Ticker]],TabCalc[[#This Row],[GL]])*(1-Commission)</f>
        <v>35840.027868749923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-0.71047873032585129</v>
      </c>
      <c r="BL40" s="749">
        <f ca="1">(TabTRADER[[#This Row],[M]]-TabTRADER[[#This Row],[Agiotage]])/(TabTRADER[[#This Row],[M]]-TabTRADER[[#This Row],[A]])-1</f>
        <v>3.6266421185240629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-5,763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-14,975$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-22,075$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20.0% = 113</v>
      </c>
      <c r="I41" s="245" t="str">
        <f ca="1">IFERROR(TRUNC(TabCalc[[#This Row],[L_S1p]],2)&amp;"x"&amp;TabCalc[[#This Row],[L_S1n]]&amp;"=   "&amp;TEXT(TabCalc[[#This Row],[ReverseB1]],"#,#0"),"")</f>
        <v>273.15x500=   26,125</v>
      </c>
      <c r="J41" s="318">
        <f ca="1">_xlfn.XLOOKUP(TabTRADER[[#This Row],[ClickTick]],TabCalc[Ticker],ListGravity)</f>
        <v>1.3214593481213219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220900</v>
      </c>
      <c r="M41" s="346">
        <f ca="1">_xlfn.XLOOKUP(TabTRADER[[#This Row],[ClickTick]],TabCalc[Ticker],TabCalc[Agiotage])</f>
        <v>1.0463940754867882</v>
      </c>
      <c r="N41" s="347" cm="1">
        <f t="array" aca="1" ref="N41" ca="1">_xlfn.XLOOKUP(TabTRADER[[#This Row],[ClickTick]],ListTickers,Tab2RSIConventional[RSIConv20])</f>
        <v>46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-4.9688104968810425E-2</v>
      </c>
      <c r="S41" s="743">
        <f ca="1">_xlfn.XLOOKUP(TabTRADER[[#This Row],[ClickTick]],SORTING!AG$3:AG$95,SORTING!AH$3:AH$95)*(1-Commission)</f>
        <v>-5749.0413749999916</v>
      </c>
      <c r="T41" s="866">
        <f ca="1">_xlfn.XLOOKUP(TabTRADER[[#This Row],[ClickTick]],TabCalc[Ticker],TabCalc[Agiotage])</f>
        <v>1.0463940754867882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2,500&lt;=2,500 / 0.5%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220.9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5.004999999999999E-3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Pile^20/552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4.9786102308736903E-2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-0.5770231544765082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5.2286102308736905E-2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5749.0413749999916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0.1253818288818469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70446.183149999953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-11.55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-0.11309883805478461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0.1253818288818469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0.16657234484059613</v>
      </c>
      <c r="AW41" s="796">
        <f ca="1">TabTRADER[[#This Row],[L_Sn]]*(TabTRADER[[#This Row],[M]]-TabTRADER[[#This Row],[L_Sp]])*(1-Commission)*TabTRADER[[#This Row],[Scale]]</f>
        <v>-22019.812500000004</v>
      </c>
      <c r="AX41" s="754">
        <f ca="1">TabTRADER[[#This Row],[L_Sn]]*(TabTRADER[[#This Row],[Agiotage]]-TabTRADER[[#This Row],[M]])/(TabTRADER[[#This Row],[L_Bn]]*TabTRADER[[#This Row],[M]])</f>
        <v>-0.99725755687251905</v>
      </c>
      <c r="AY41" s="690">
        <f ca="1">IFERROR((TabTRADER[[#This Row],[M]]-TabTRADER[[#This Row],[A]])/TabTRADER[[#This Row],[A]],0)</f>
        <v>-0.11338229378925775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-70,446$</v>
      </c>
      <c r="BA41" s="744">
        <f ca="1">_xlfn.XLOOKUP(TabTRADER[[#This Row],[ClickTick]],TabCalc[[#This Row],[Ticker]],TabCalc[[#This Row],[GL]])*(1-Commission)</f>
        <v>19998.852562499978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5.2286102308736905E-2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-0.52764865421883167</v>
      </c>
      <c r="BL41" s="749">
        <f ca="1">(TabTRADER[[#This Row],[M]]-TabTRADER[[#This Row],[Agiotage]])/(TabTRADER[[#This Row],[M]]-TabTRADER[[#This Row],[A]])-1</f>
        <v>-8.7826775739837259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-1,770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-4.0%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2,767$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-6,161$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41.5% = 812</v>
      </c>
      <c r="I42" s="245" t="str">
        <f ca="1">IFERROR(TRUNC(TabCalc[[#This Row],[L_S1p]],2)&amp;"x"&amp;TabCalc[[#This Row],[L_S1n]]&amp;"=   "&amp;TEXT(TabCalc[[#This Row],[ReverseB1]],"#,#0"),"")</f>
        <v>15.3x4000=   1,760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156030</v>
      </c>
      <c r="M42" s="346">
        <f ca="1">_xlfn.XLOOKUP(TabTRADER[[#This Row],[ClickTick]],TabCalc[Ticker],TabCalc[Agiotage])</f>
        <v>2.7535437294080589E-2</v>
      </c>
      <c r="N42" s="347" cm="1">
        <f t="array" aca="1" ref="N42" ca="1">_xlfn.XLOOKUP(TabTRADER[[#This Row],[ClickTick]],ListTickers,Tab2RSIConventional[RSIConv20])</f>
        <v>33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-3.8187702265372159E-2</v>
      </c>
      <c r="S42" s="743">
        <f ca="1">_xlfn.XLOOKUP(TabTRADER[[#This Row],[ClickTick]],SORTING!AG$3:AG$95,SORTING!AH$3:AH$95)*(1-Commission)</f>
        <v>-1765.5749999999996</v>
      </c>
      <c r="T42" s="866">
        <f ca="1">_xlfn.XLOOKUP(TabTRADER[[#This Row],[ClickTick]],TabCalc[Ticker],TabCalc[Agiotage])</f>
        <v>2.7535437294080589E-2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-1,150&lt;=-1,150 / -1.4%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14.86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-1.3934999999999999E-2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^65/342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3.7203903095558537E-2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-0.17401990905739212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3.9703903095558539E-2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1765.5749999999998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0.14705000292585885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50985.417000000045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-0.59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-0.12976915100592232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0.14705000292585885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0.29308786451643598</v>
      </c>
      <c r="AW42" s="796">
        <f ca="1">TabTRADER[[#This Row],[L_Sn]]*(TabTRADER[[#This Row],[M]]-TabTRADER[[#This Row],[L_Sp]])*(1-Commission)*TabTRADER[[#This Row],[Scale]]</f>
        <v>-6145.5975000000026</v>
      </c>
      <c r="AX42" s="754">
        <f ca="1">TabTRADER[[#This Row],[L_Sn]]*(TabTRADER[[#This Row],[Agiotage]]-TabTRADER[[#This Row],[M]])/(TabTRADER[[#This Row],[L_Bn]]*TabTRADER[[#This Row],[M]])</f>
        <v>-0.33271566986778645</v>
      </c>
      <c r="AY42" s="690">
        <f ca="1">IFERROR((TabTRADER[[#This Row],[M]]-TabTRADER[[#This Row],[A]])/TabTRADER[[#This Row],[A]],0)</f>
        <v>-0.13009438697335571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-50,985$</v>
      </c>
      <c r="BA42" s="744">
        <f ca="1">_xlfn.XLOOKUP(TabTRADER[[#This Row],[ClickTick]],TabCalc[[#This Row],[Ticker]],TabCalc[[#This Row],[GL]])*(1-Commission)</f>
        <v>64814.896649999973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3.9703903095558539E-2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-1.5477354326301828E-2</v>
      </c>
      <c r="BL42" s="749">
        <f ca="1">(TabTRADER[[#This Row],[M]]-TabTRADER[[#This Row],[Agiotage]])/(TabTRADER[[#This Row],[M]]-TabTRADER[[#This Row],[A]])-1</f>
        <v>-7.6743362759959437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+1,680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5.7%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2,774$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-8,873$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30.1% = 1,691</v>
      </c>
      <c r="I43" s="245" t="str">
        <f ca="1">IFERROR(TRUNC(TabCalc[[#This Row],[L_S1p]],2)&amp;"x"&amp;TabCalc[[#This Row],[L_S1n]]&amp;"=   "&amp;TEXT(TabCalc[[#This Row],[ReverseB1]],"#,#0"),"")</f>
        <v>10.36x4000=   2,200</v>
      </c>
      <c r="J43" s="318">
        <f ca="1">_xlfn.XLOOKUP(TabTRADER[[#This Row],[ClickTick]],TabCalc[Ticker],ListGravity)</f>
        <v>1.3591569826707441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0.51827453699690851</v>
      </c>
      <c r="N43" s="347" cm="1">
        <f t="array" aca="1" ref="N43" ca="1">_xlfn.XLOOKUP(TabTRADER[[#This Row],[ClickTick]],ListTickers,Tab2RSIConventional[RSIConv20])</f>
        <v>20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6.0540540540540595E-2</v>
      </c>
      <c r="S43" s="743">
        <f ca="1">_xlfn.XLOOKUP(TabTRADER[[#This Row],[ClickTick]],SORTING!AG$3:AG$95,SORTING!AH$3:AH$95)*(1-Commission)</f>
        <v>1675.8000000000018</v>
      </c>
      <c r="T43" s="866">
        <f ca="1">_xlfn.XLOOKUP(TabTRADER[[#This Row],[ClickTick]],TabCalc[Ticker],TabCalc[Agiotage])</f>
        <v>0.51827453699690851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-320&lt;=-320 / -0.4%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9.81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-4.0610000000000004E-3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-700/157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8850.4184002500006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0.23164484716871658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8.788142981691377E-2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309410.42527499999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-0.66234217596348754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1.9737097986748213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0.23164484716871658</v>
      </c>
      <c r="AW43" s="796">
        <f ca="1">TabTRADER[[#This Row],[L_Sn]]*(TabTRADER[[#This Row],[M]]-TabTRADER[[#This Row],[L_Sp]])*(1-Commission)*TabTRADER[[#This Row],[Scale]]</f>
        <v>-8850.4184002500006</v>
      </c>
      <c r="AX43" s="754">
        <f ca="1">TabTRADER[[#This Row],[L_Sn]]*(TabTRADER[[#This Row],[Agiotage]]-TabTRADER[[#This Row],[M]])/(TabTRADER[[#This Row],[L_Bn]]*TabTRADER[[#This Row],[M]])</f>
        <v>-0.94716875259970346</v>
      </c>
      <c r="AY43" s="690">
        <f ca="1">IFERROR((TabTRADER[[#This Row],[M]]-TabTRADER[[#This Row],[A]])/TabTRADER[[#This Row],[A]],0)</f>
        <v>-0.66400218141703005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-309,410$</v>
      </c>
      <c r="BA43" s="744">
        <f ca="1">_xlfn.XLOOKUP(TabTRADER[[#This Row],[ClickTick]],TabCalc[[#This Row],[Ticker]],TabCalc[[#This Row],[GL]])*(1-Commission)</f>
        <v>-697815.40929975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-3.6779746624387238E-3</v>
      </c>
      <c r="BL43" s="749">
        <f ca="1">(TabTRADER[[#This Row],[M]]-TabTRADER[[#This Row],[Agiotage]])/(TabTRADER[[#This Row],[M]]-TabTRADER[[#This Row],[A]])-1</f>
        <v>-1.479285525876272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+594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138$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24,184$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15.7% = 0</v>
      </c>
      <c r="I44" s="245" t="str">
        <f ca="1">IFERROR(TRUNC(TabCalc[[#This Row],[L_S1p]],2)&amp;"x"&amp;TabCalc[[#This Row],[L_S1n]]&amp;"=   "&amp;TEXT(TabCalc[[#This Row],[ReverseB1]],"#,#0"),"")</f>
        <v>357.3x200=   -7,728</v>
      </c>
      <c r="J44" s="318">
        <f ca="1">_xlfn.XLOOKUP(TabTRADER[[#This Row],[ClickTick]],TabCalc[Ticker],ListGravity)</f>
        <v>0.78429585290700621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2.1738133239969519</v>
      </c>
      <c r="N44" s="347" cm="1">
        <f t="array" aca="1" ref="N44" ca="1">_xlfn.XLOOKUP(TabTRADER[[#This Row],[ClickTick]],ListTickers,Tab2RSIConventional[RSIConv20])</f>
        <v>71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0.17660693590086479</v>
      </c>
      <c r="S44" s="743">
        <f ca="1">_xlfn.XLOOKUP(TabTRADER[[#This Row],[ClickTick]],SORTING!AG$3:AG$95,SORTING!AH$3:AH$95)*(1-Commission)</f>
        <v>592.81425000000013</v>
      </c>
      <c r="T44" s="866">
        <f ca="1">_xlfn.XLOOKUP(TabTRADER[[#This Row],[ClickTick]],TabCalc[Ticker],TabCalc[Agiotage])</f>
        <v>2.1738133239969519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250&lt;=250 / 7.4%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395.94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7.3561000000000001E-2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0.15411463858160324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618.5497499999999</v>
      </c>
      <c r="AJ44" s="1144">
        <f ca="1">_xlfn.XLOOKUP(TabTRADER[[#This Row],[ClickTick]],TabCalc[Ticker],TabCalc[Ann%RevLB])</f>
        <v>0.29989857039769496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0.17410693590086479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697.50935825086935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2.2%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10x59.43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0.17616541856111265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-0.15259849977269285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-0.18569760129368426</v>
      </c>
      <c r="AW44" s="796">
        <f ca="1">TabTRADER[[#This Row],[L_Sn]]*(TabTRADER[[#This Row],[M]]-TabTRADER[[#This Row],[L_Sp]])*(1-Commission)*TabTRADER[[#This Row],[Scale]]</f>
        <v>24123.44025</v>
      </c>
      <c r="AX44" s="754">
        <f ca="1">TabTRADER[[#This Row],[L_Sn]]*(TabTRADER[[#This Row],[Agiotage]]-TabTRADER[[#This Row],[M]])/(TabTRADER[[#This Row],[L_Bn]]*TabTRADER[[#This Row],[M]])</f>
        <v>-0.96964699704274127</v>
      </c>
      <c r="AY44" s="690">
        <f ca="1">IFERROR((TabTRADER[[#This Row],[M]]-TabTRADER[[#This Row],[A]])/TabTRADER[[#This Row],[A]],0)</f>
        <v>0.17660693590086479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593$</v>
      </c>
      <c r="BA44" s="744">
        <f ca="1">_xlfn.XLOOKUP(TabTRADER[[#This Row],[ClickTick]],TabCalc[[#This Row],[Ticker]],TabCalc[[#This Row],[GL]])*(1-Commission)</f>
        <v>87118.956749999998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0.15661463858160324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-40.386275556513134</v>
      </c>
      <c r="BL44" s="749">
        <f ca="1">(TabTRADER[[#This Row],[M]]-TabTRADER[[#This Row],[Agiotage]])/(TabTRADER[[#This Row],[M]]-TabTRADER[[#This Row],[A]])-1</f>
        <v>5.6257140615178018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+24,130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9.3%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207/5,500=53,746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8,995$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5,865$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45" s="245" t="str">
        <f ca="1">IFERROR(TRUNC(TabCalc[[#This Row],[L_S1p]],2)&amp;"x"&amp;TabCalc[[#This Row],[L_S1n]]&amp;"=   "&amp;TEXT(TabCalc[[#This Row],[ReverseB1]],"#,#0"),"")</f>
        <v>224.42x500=   -17,480</v>
      </c>
      <c r="J45" s="318">
        <f ca="1">_xlfn.XLOOKUP(TabTRADER[[#This Row],[ClickTick]],TabCalc[Ticker],ListGravity)</f>
        <v>1.0400185056673605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907830</v>
      </c>
      <c r="M45" s="346">
        <f ca="1">_xlfn.XLOOKUP(TabTRADER[[#This Row],[ClickTick]],TabCalc[Ticker],TabCalc[Agiotage])</f>
        <v>0.77041188314923847</v>
      </c>
      <c r="N45" s="347" cm="1">
        <f t="array" aca="1" ref="N45" ca="1">_xlfn.XLOOKUP(TabTRADER[[#This Row],[ClickTick]],ListTickers,Tab2RSIConventional[RSIConv20])</f>
        <v>69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0.10257173219978744</v>
      </c>
      <c r="S45" s="743">
        <f ca="1">_xlfn.XLOOKUP(TabTRADER[[#This Row],[ClickTick]],SORTING!AG$3:AG$95,SORTING!AH$3:AH$95)*(1-Commission)</f>
        <v>24069.674999999999</v>
      </c>
      <c r="T45" s="866">
        <f ca="1">_xlfn.XLOOKUP(TabTRADER[[#This Row],[ClickTick]],TabCalc[Ticker],TabCalc[Agiotage])</f>
        <v>0.77041188314923847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-8,085&lt;=-8,085 / 0.2%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259.38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1.815E-3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^769/1,427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24069.674999999999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0.10257173219978744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0.879186275998178</v>
      </c>
      <c r="AK45" s="1143">
        <f ca="1">_xlfn.XLOOKUP(TabTRADER[[#This Row],[ClickTick]],TabCalc[Ticker],TabCalc[Up20])</f>
        <v>0.52380952380952384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536938.62651204073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1.2%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-0.27645356900020324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-4.7365233192004801E-2</v>
      </c>
      <c r="AW45" s="796">
        <f ca="1">TabTRADER[[#This Row],[L_Sn]]*(TabTRADER[[#This Row],[M]]-TabTRADER[[#This Row],[L_Sp]])*(1-Commission)*TabTRADER[[#This Row],[Scale]]</f>
        <v>5850.3374999999951</v>
      </c>
      <c r="AX45" s="754">
        <f ca="1">TabTRADER[[#This Row],[L_Sn]]*(TabTRADER[[#This Row],[Agiotage]]-TabTRADER[[#This Row],[M]])/(TabTRADER[[#This Row],[L_Bn]]*TabTRADER[[#This Row],[M]])</f>
        <v>-0.49851489728747544</v>
      </c>
      <c r="AY45" s="690">
        <f ca="1">IFERROR((TabTRADER[[#This Row],[M]]-TabTRADER[[#This Row],[A]])/TabTRADER[[#This Row],[A]],0)</f>
        <v>0.37732238229304094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389,842$</v>
      </c>
      <c r="BA45" s="744">
        <f ca="1">_xlfn.XLOOKUP(TabTRADER[[#This Row],[ClickTick]],TabCalc[[#This Row],[Ticker]],TabCalc[[#This Row],[GL]])*(1-Commission)</f>
        <v>767447.49469500012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-0.5642391013458562</v>
      </c>
      <c r="BL45" s="749">
        <f ca="1">(TabTRADER[[#This Row],[M]]-TabTRADER[[#This Row],[Agiotage]])/(TabTRADER[[#This Row],[M]]-TabTRADER[[#This Row],[A]])-1</f>
        <v>2.6394115915832845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-347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-2,160$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-2,817$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22.2% = 621</v>
      </c>
      <c r="I46" s="245" t="str">
        <f ca="1">IFERROR(TRUNC(TabCalc[[#This Row],[L_S1p]],2)&amp;"x"&amp;TabCalc[[#This Row],[L_S1n]]&amp;"=   "&amp;TEXT(TabCalc[[#This Row],[ReverseB1]],"#,#0"),"")</f>
        <v>43.37x2500=   17,800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83375</v>
      </c>
      <c r="M46" s="346">
        <f ca="1">_xlfn.XLOOKUP(TabTRADER[[#This Row],[ClickTick]],TabCalc[Ticker],TabCalc[Agiotage])</f>
        <v>0.13715846994535519</v>
      </c>
      <c r="N46" s="347" cm="1">
        <f t="array" aca="1" ref="N46" ca="1">_xlfn.XLOOKUP(TabTRADER[[#This Row],[ClickTick]],ListTickers,Tab2RSIConventional[RSIConv20])</f>
        <v>53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-2.6602614881030617E-2</v>
      </c>
      <c r="S46" s="743">
        <f ca="1">_xlfn.XLOOKUP(TabTRADER[[#This Row],[ClickTick]],SORTING!AG$3:AG$95,SORTING!AH$3:AH$95)*(1-Commission)</f>
        <v>-345.8781374999989</v>
      </c>
      <c r="T46" s="866">
        <f ca="1">_xlfn.XLOOKUP(TabTRADER[[#This Row],[ClickTick]],TabCalc[Ticker],TabCalc[Agiotage])</f>
        <v>0.13715846994535519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2,250&lt;=2,250 / 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36.25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2.5459999999999997E-2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2.4829655172413707E-2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-0.17101680994948254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2.7329655172413706E-2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345.87813749999896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0.145068275862069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16007.929875000003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-0.12827067309945953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0.145068275862069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0.18169285512893468</v>
      </c>
      <c r="AW46" s="796">
        <f ca="1">TabTRADER[[#This Row],[L_Sn]]*(TabTRADER[[#This Row],[M]]-TabTRADER[[#This Row],[L_Sp]])*(1-Commission)*TabTRADER[[#This Row],[Scale]]</f>
        <v>-2810.0268262499994</v>
      </c>
      <c r="AX46" s="754">
        <f ca="1">TabTRADER[[#This Row],[L_Sn]]*(TabTRADER[[#This Row],[Agiotage]]-TabTRADER[[#This Row],[M]])/(TabTRADER[[#This Row],[L_Bn]]*TabTRADER[[#This Row],[M]])</f>
        <v>-0.99621631807047306</v>
      </c>
      <c r="AY46" s="690">
        <f ca="1">IFERROR((TabTRADER[[#This Row],[M]]-TabTRADER[[#This Row],[A]])/TabTRADER[[#This Row],[A]],0)</f>
        <v>-0.12859215348316744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-16,008$</v>
      </c>
      <c r="BA46" s="744">
        <f ca="1">_xlfn.XLOOKUP(TabTRADER[[#This Row],[ClickTick]],TabCalc[[#This Row],[Ticker]],TabCalc[[#This Row],[GL]])*(1-Commission)</f>
        <v>-179981.1145125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2.7329655172413706E-2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-0.11521716107207911</v>
      </c>
      <c r="BL46" s="749">
        <f ca="1">(TabTRADER[[#This Row],[M]]-TabTRADER[[#This Row],[Agiotage]])/(TabTRADER[[#This Row],[M]]-TabTRADER[[#This Row],[A]])-1</f>
        <v>-7.7508840382578512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-14,585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-19.4%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-17,075$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1.188799711815562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111643.78000000001</v>
      </c>
      <c r="M47" s="346">
        <f ca="1">_xlfn.XLOOKUP(TabTRADER[[#This Row],[ClickTick]],TabCalc[Ticker],TabCalc[Agiotage])</f>
        <v>0.52775367168646414</v>
      </c>
      <c r="N47" s="347" cm="1">
        <f t="array" aca="1" ref="N47" ca="1">_xlfn.XLOOKUP(TabTRADER[[#This Row],[ClickTick]],ListTickers,Tab2RSIConventional[RSIConv20])</f>
        <v>64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-0.16224046354418159</v>
      </c>
      <c r="S47" s="743">
        <f ca="1">_xlfn.XLOOKUP(TabTRADER[[#This Row],[ClickTick]],SORTING!AG$3:AG$95,SORTING!AH$3:AH$95)*(1-Commission)</f>
        <v>-14548.625280000004</v>
      </c>
      <c r="T47" s="866">
        <f ca="1">_xlfn.XLOOKUP(TabTRADER[[#This Row],[ClickTick]],TabCalc[Ticker],TabCalc[Agiotage])</f>
        <v>0.52775367168646414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-3,256&lt;=-3,256 / -2.4%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6.94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-2.3910000000000001E-2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-32/126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0.19115994236311243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-8.3437952679864829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0.19365994236311243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14548.625280000004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0.24972063898967978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31580.538779999992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1.6%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-1.34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-0.2009151419155607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0.24972063898967978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-0.20141868863715356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-31,581$</v>
      </c>
      <c r="BA47" s="744">
        <f ca="1">_xlfn.XLOOKUP(TabTRADER[[#This Row],[ClickTick]],TabCalc[[#This Row],[Ticker]],TabCalc[[#This Row],[GL]])*(1-Commission)</f>
        <v>-31580.538779999981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0.19365994236311243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-4.6632799205161772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+37,547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32/350=11,502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53,235$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20,734$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-29,535</v>
      </c>
      <c r="J48" s="318">
        <f ca="1">_xlfn.XLOOKUP(TabTRADER[[#This Row],[ClickTick]],TabCalc[Ticker],ListGravity)</f>
        <v>0.98663406230027506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57579.199999999997</v>
      </c>
      <c r="M48" s="346">
        <f ca="1">_xlfn.XLOOKUP(TabTRADER[[#This Row],[ClickTick]],TabCalc[Ticker],TabCalc[Agiotage])</f>
        <v>1.2976772377132826</v>
      </c>
      <c r="N48" s="347" cm="1">
        <f t="array" aca="1" ref="N48" ca="1">_xlfn.XLOOKUP(TabTRADER[[#This Row],[ClickTick]],ListTickers,Tab2RSIConventional[RSIConv20])</f>
        <v>66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0.76904768761244646</v>
      </c>
      <c r="S48" s="743">
        <f ca="1">_xlfn.XLOOKUP(TabTRADER[[#This Row],[ClickTick]],SORTING!AG$3:AG$95,SORTING!AH$3:AH$95)*(1-Commission)</f>
        <v>37452.733507980003</v>
      </c>
      <c r="T48" s="866">
        <f ca="1">_xlfn.XLOOKUP(TabTRADER[[#This Row],[ClickTick]],TabCalc[Ticker],TabCalc[Agiotage])</f>
        <v>1.2976772377132826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-1,064&lt;=-1,064 / 0.1%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359.87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6.6739999999999996E-4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0.28557624975685669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20682.165000000005</v>
      </c>
      <c r="AJ48" s="1144">
        <f ca="1">_xlfn.XLOOKUP(TabTRADER[[#This Row],[ClickTick]],TabCalc[Ticker],TabCalc[Ann%RevLB])</f>
        <v>1.3912420479421141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0.75475373187258421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95141.066383217534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1.3%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240x155.07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0.75536059754290275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-0.4334302169275413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-0.40464480874316949</v>
      </c>
      <c r="AW48" s="796">
        <f ca="1">TabTRADER[[#This Row],[L_Sn]]*(TabTRADER[[#This Row],[M]]-TabTRADER[[#This Row],[L_Sp]])*(1-Commission)*TabTRADER[[#This Row],[Scale]]</f>
        <v>20682.165000000005</v>
      </c>
      <c r="AX48" s="754">
        <f ca="1">TabTRADER[[#This Row],[L_Sn]]*(TabTRADER[[#This Row],[Agiotage]]-TabTRADER[[#This Row],[M]])/(TabTRADER[[#This Row],[L_Bn]]*TabTRADER[[#This Row],[M]])</f>
        <v>-0.83032836571142987</v>
      </c>
      <c r="AY48" s="690">
        <f ca="1">IFERROR((TabTRADER[[#This Row],[M]]-TabTRADER[[#This Row],[A]])/TabTRADER[[#This Row],[A]],0)</f>
        <v>0.75725373187258416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54,142$</v>
      </c>
      <c r="BA48" s="744">
        <f ca="1">_xlfn.XLOOKUP(TabTRADER[[#This Row],[ClickTick]],TabCalc[[#This Row],[Ticker]],TabCalc[[#This Row],[GL]])*(1-Commission)</f>
        <v>72599.820769979982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0.28807624975685669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-2.8173539645608239</v>
      </c>
      <c r="BL48" s="749">
        <f ca="1">(TabTRADER[[#This Row],[M]]-TabTRADER[[#This Row],[Agiotage]])/(TabTRADER[[#This Row],[M]]-TabTRADER[[#This Row],[A]])-1</f>
        <v>1.3121934821787038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+7,745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17.6%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968/1,500=28,385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6,523</v>
      </c>
      <c r="F49" s="245" t="str">
        <f ca="1">TRUNC(TabCalc[[#This Row],[L_B1p]],2)&amp;"x"&amp;TabCalc[[#This Row],[L_B1n]]&amp;"=   "&amp;TEXT(TabCalc[[#This Row],[ReverseS1]],"#,#0")&amp;"$"</f>
        <v>-25.53x3000=   5,667$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-383$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6,523</v>
      </c>
      <c r="I49" s="245" t="str">
        <f ca="1">IFERROR(TRUNC(TabCalc[[#This Row],[L_S1p]],2)&amp;"x"&amp;TabCalc[[#This Row],[L_S1n]]&amp;"=   "&amp;TEXT(TabCalc[[#This Row],[ReverseB1]],"#,#0"),"")</f>
        <v>25.39x3000=   -11,771</v>
      </c>
      <c r="J49" s="318">
        <f ca="1">_xlfn.XLOOKUP(TabTRADER[[#This Row],[ClickTick]],TabCalc[Ticker],ListGravity)</f>
        <v>1.2281030924318146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1.6135976971641899E-2</v>
      </c>
      <c r="N49" s="347" cm="1">
        <f t="array" aca="1" ref="N49" ca="1">_xlfn.XLOOKUP(TabTRADER[[#This Row],[ClickTick]],ListTickers,Tab2RSIConventional[RSIConv20])</f>
        <v>15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0.21380952380952392</v>
      </c>
      <c r="S49" s="743">
        <f ca="1">_xlfn.XLOOKUP(TabTRADER[[#This Row],[ClickTick]],SORTING!AG$3:AG$95,SORTING!AH$3:AH$95)*(1-Commission)</f>
        <v>7725.8868750000038</v>
      </c>
      <c r="T49" s="866">
        <f ca="1">_xlfn.XLOOKUP(TabTRADER[[#This Row],[ClickTick]],TabCalc[Ticker],TabCalc[Agiotage])</f>
        <v>1.6135976971641899E-2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-54&lt;=-54 / -0.8%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29.313500000000001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-8.0870000000000004E-3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382.29187499999853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2.5482047872340329E-2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0.27198384654215058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-7725.8868750000038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0.21327500000000013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-0.17864750882699107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2.5482047872340329E-2</v>
      </c>
      <c r="AW49" s="796">
        <f ca="1">TabTRADER[[#This Row],[L_Sn]]*(TabTRADER[[#This Row],[M]]-TabTRADER[[#This Row],[L_Sp]])*(1-Commission)*TabTRADER[[#This Row],[Scale]]</f>
        <v>-382.29187499999853</v>
      </c>
      <c r="AX49" s="754">
        <f ca="1">TabTRADER[[#This Row],[L_Sn]]*(TabTRADER[[#This Row],[Agiotage]]-TabTRADER[[#This Row],[M]])/(TabTRADER[[#This Row],[L_Bn]]*TabTRADER[[#This Row],[M]])</f>
        <v>-0.1665749229480635</v>
      </c>
      <c r="AY49" s="690">
        <f ca="1">IFERROR((TabTRADER[[#This Row],[M]]-TabTRADER[[#This Row],[A]])/TabTRADER[[#This Row],[A]],0)</f>
        <v>0.21380952380952392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7,726$</v>
      </c>
      <c r="BA49" s="744">
        <f ca="1">_xlfn.XLOOKUP(TabTRADER[[#This Row],[ClickTick]],TabCalc[[#This Row],[Ticker]],TabCalc[[#This Row],[GL]])*(1-Commission)</f>
        <v>97621.953450000001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-7.8126304061408955E-2</v>
      </c>
      <c r="BL49" s="749">
        <f ca="1">(TabTRADER[[#This Row],[M]]-TabTRADER[[#This Row],[Agiotage]])/(TabTRADER[[#This Row],[M]]-TabTRADER[[#This Row],[A]])-1</f>
        <v>4.6739351259859285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+4,400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10,000</v>
      </c>
      <c r="F50" s="245" t="str">
        <f ca="1">TRUNC(TabCalc[[#This Row],[L_B1p]],2)&amp;"x"&amp;TabCalc[[#This Row],[L_B1n]]&amp;"=   "&amp;TEXT(TabCalc[[#This Row],[ReverseS1]],"#,#0")&amp;"$"</f>
        <v>-59.5x6000=   10,800$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-505$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10,000</v>
      </c>
      <c r="I50" s="245" t="str">
        <f ca="1">IFERROR(TRUNC(TabCalc[[#This Row],[L_S1p]],2)&amp;"x"&amp;TabCalc[[#This Row],[L_S1n]]&amp;"=   "&amp;TEXT(TabCalc[[#This Row],[ReverseB1]],"#,#0"),"")</f>
        <v>62.9x6000=   9,600</v>
      </c>
      <c r="J50" s="318">
        <f ca="1">_xlfn.XLOOKUP(TabTRADER[[#This Row],[ClickTick]],TabCalc[Ticker],ListGravity)</f>
        <v>1.0331158238172919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0.87123338257016247</v>
      </c>
      <c r="N50" s="347" cm="1">
        <f t="array" aca="1" ref="N50" ca="1">_xlfn.XLOOKUP(TabTRADER[[#This Row],[ClickTick]],ListTickers,Tab2RSIConventional[RSIConv20])</f>
        <v>53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3.7225042301184362E-2</v>
      </c>
      <c r="S50" s="743">
        <f ca="1">_xlfn.XLOOKUP(TabTRADER[[#This Row],[ClickTick]],SORTING!AG$3:AG$95,SORTING!AH$3:AH$95)*(1-Commission)</f>
        <v>4388.9999999999918</v>
      </c>
      <c r="T50" s="866">
        <f ca="1">_xlfn.XLOOKUP(TabTRADER[[#This Row],[ClickTick]],TabCalc[Ticker],TabCalc[Agiotage])</f>
        <v>0.87123338257016247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-3,900&lt;=-3,900 / -0.2%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61.3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-1.6289999999999998E-3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^159/797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503.73750000000001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8.0906148867313926E-3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0.35265829548490446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-16408.874999999953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2.102488948683446E-2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-2.3142489647383552E-2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8.0906148867313926E-3</v>
      </c>
      <c r="AW50" s="796">
        <f ca="1">TabTRADER[[#This Row],[L_Sn]]*(TabTRADER[[#This Row],[M]]-TabTRADER[[#This Row],[L_Sp]])*(1-Commission)*TabTRADER[[#This Row],[Scale]]</f>
        <v>-503.73750000000001</v>
      </c>
      <c r="AX50" s="754">
        <f ca="1">TabTRADER[[#This Row],[L_Sn]]*(TabTRADER[[#This Row],[Agiotage]]-TabTRADER[[#This Row],[M]])/(TabTRADER[[#This Row],[L_Bn]]*TabTRADER[[#This Row],[M]])</f>
        <v>-0.49782262874065364</v>
      </c>
      <c r="AY50" s="690">
        <f ca="1">IFERROR((TabTRADER[[#This Row],[M]]-TabTRADER[[#This Row],[A]])/TabTRADER[[#This Row],[A]],0)</f>
        <v>2.1077583445448078E-2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16,409$</v>
      </c>
      <c r="BA50" s="744">
        <f ca="1">_xlfn.XLOOKUP(TabTRADER[[#This Row],[ClickTick]],TabCalc[[#This Row],[Ticker]],TabCalc[[#This Row],[GL]])*(1-Commission)</f>
        <v>158696.57422499996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-6.4478828660334497E-2</v>
      </c>
      <c r="BL50" s="749">
        <f ca="1">(TabTRADER[[#This Row],[M]]-TabTRADER[[#This Row],[Agiotage]])/(TabTRADER[[#This Row],[M]]-TabTRADER[[#This Row],[A]])-1</f>
        <v>46.755256293409737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+8,650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17.4%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2,890/5,000=28,786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8,065</v>
      </c>
      <c r="F51" s="245" t="str">
        <f ca="1">TRUNC(TabCalc[[#This Row],[L_B1p]],2)&amp;"x"&amp;TabCalc[[#This Row],[L_B1n]]&amp;"=   "&amp;TEXT(TabCalc[[#This Row],[ReverseS1]],"#,#0")&amp;"$"</f>
        <v>-11.33x10000=   -6,850$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-3,100$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8,065</v>
      </c>
      <c r="I51" s="245" t="str">
        <f ca="1">IFERROR(TRUNC(TabCalc[[#This Row],[L_S1p]],2)&amp;"x"&amp;TabCalc[[#This Row],[L_S1n]]&amp;"=   "&amp;TEXT(TabCalc[[#This Row],[ReverseB1]],"#,#0"),"")</f>
        <v>11.69x10000=   17,300</v>
      </c>
      <c r="J51" s="318">
        <f ca="1">_xlfn.XLOOKUP(TabTRADER[[#This Row],[ClickTick]],TabCalc[Ticker],ListGravity)</f>
        <v>1.1474467871485943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1.259964776017453</v>
      </c>
      <c r="N51" s="347" cm="1">
        <f t="array" aca="1" ref="N51" ca="1">_xlfn.XLOOKUP(TabTRADER[[#This Row],[ClickTick]],ListTickers,Tab2RSIConventional[RSIConv20])</f>
        <v>10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0.2102065613608749</v>
      </c>
      <c r="S51" s="743">
        <f ca="1">_xlfn.XLOOKUP(TabTRADER[[#This Row],[ClickTick]],SORTING!AG$3:AG$95,SORTING!AH$3:AH$95)*(1-Commission)</f>
        <v>8628.3750000000018</v>
      </c>
      <c r="T51" s="866">
        <f ca="1">_xlfn.XLOOKUP(TabTRADER[[#This Row],[ClickTick]],TabCalc[Ticker],TabCalc[Agiotage])</f>
        <v>1.259964776017453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-650&lt;=-650 / -2.1%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9.9600000000000009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-2.0649000000000001E-2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-86/50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3092.2499999999959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5.8601134215500873E-2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0.67566394723138357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-8628.3750000000018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0.20968104495747272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-0.17619477911646589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5.8601134215500873E-2</v>
      </c>
      <c r="AW51" s="796">
        <f ca="1">TabTRADER[[#This Row],[L_Sn]]*(TabTRADER[[#This Row],[M]]-TabTRADER[[#This Row],[L_Sp]])*(1-Commission)*TabTRADER[[#This Row],[Scale]]</f>
        <v>-3092.2499999999959</v>
      </c>
      <c r="AX51" s="754">
        <f ca="1">TabTRADER[[#This Row],[L_Sn]]*(TabTRADER[[#This Row],[Agiotage]]-TabTRADER[[#This Row],[M]])/(TabTRADER[[#This Row],[L_Bn]]*TabTRADER[[#This Row],[M]])</f>
        <v>-0.87349751244804674</v>
      </c>
      <c r="AY51" s="690">
        <f ca="1">IFERROR((TabTRADER[[#This Row],[M]]-TabTRADER[[#This Row],[A]])/TabTRADER[[#This Row],[A]],0)</f>
        <v>0.2102065613608749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8,628$</v>
      </c>
      <c r="BA51" s="744">
        <f ca="1">_xlfn.XLOOKUP(TabTRADER[[#This Row],[ClickTick]],TabCalc[[#This Row],[Ticker]],TabCalc[[#This Row],[GL]])*(1-Commission)</f>
        <v>-86078.215124999959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-3.4800140895930188E-3</v>
      </c>
      <c r="BL51" s="749">
        <f ca="1">(TabTRADER[[#This Row],[M]]-TabTRADER[[#This Row],[Agiotage]])/(TabTRADER[[#This Row],[M]]-TabTRADER[[#This Row],[A]])-1</f>
        <v>4.0289220947875988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44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0.31519272949527732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+1,220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168$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8,676$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3,492</v>
      </c>
      <c r="J53" s="318">
        <f ca="1">_xlfn.XLOOKUP(TabTRADER[[#This Row],[ClickTick]],TabCalc[Ticker],ListGravity)</f>
        <v>1.112324360459934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0.75013527519452761</v>
      </c>
      <c r="N53" s="347" cm="1">
        <f t="array" aca="1" ref="N53" ca="1">_xlfn.XLOOKUP(TabTRADER[[#This Row],[ClickTick]],ListTickers,Tab2RSIConventional[RSIConv20])</f>
        <v>54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5.749835045715896E-2</v>
      </c>
      <c r="S53" s="743">
        <f ca="1">_xlfn.XLOOKUP(TabTRADER[[#This Row],[ClickTick]],SORTING!AG$3:AG$95,SORTING!AH$3:AH$95)*(1-Commission)</f>
        <v>1216.9499999999989</v>
      </c>
      <c r="T53" s="866">
        <f ca="1">_xlfn.XLOOKUP(TabTRADER[[#This Row],[ClickTick]],TabCalc[Ticker],TabCalc[Agiotage])</f>
        <v>0.75013527519452761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-134&lt;=-134 / 0.0%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112.19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4.459E-4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4.0462830911845916E-2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961.58999999999867</v>
      </c>
      <c r="AJ53" s="1144">
        <f ca="1">_xlfn.XLOOKUP(TabTRADER[[#This Row],[ClickTick]],TabCalc[Ticker],TabCalc[Ann%RevLB])</f>
        <v>8.085705533037979E-2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5.4998350457158958E-2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1286.9226175888384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200x6.09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5.7354604581016065E-2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-5.6872047419556065E-2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-4.4891496693676008E-2</v>
      </c>
      <c r="AW53" s="796">
        <f ca="1">TabTRADER[[#This Row],[L_Sn]]*(TabTRADER[[#This Row],[M]]-TabTRADER[[#This Row],[L_Sp]])*(1-Commission)*TabTRADER[[#This Row],[Scale]]</f>
        <v>8654.3099999999886</v>
      </c>
      <c r="AX53" s="754">
        <f ca="1">TabTRADER[[#This Row],[L_Sn]]*(TabTRADER[[#This Row],[Agiotage]]-TabTRADER[[#This Row],[M]])/(TabTRADER[[#This Row],[L_Bn]]*TabTRADER[[#This Row],[M]])</f>
        <v>-0.99331370643377725</v>
      </c>
      <c r="AY53" s="690">
        <f ca="1">IFERROR((TabTRADER[[#This Row],[M]]-TabTRADER[[#This Row],[A]])/TabTRADER[[#This Row],[A]],0)</f>
        <v>5.749835045715896E-2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1,217$</v>
      </c>
      <c r="BA53" s="744">
        <f ca="1">_xlfn.XLOOKUP(TabTRADER[[#This Row],[ClickTick]],TabCalc[[#This Row],[Ticker]],TabCalc[[#This Row],[GL]])*(1-Commission)</f>
        <v>9390.5647500000068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4.2962830911845919E-2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-0.61911035958225269</v>
      </c>
      <c r="BL53" s="749">
        <f ca="1">(TabTRADER[[#This Row],[M]]-TabTRADER[[#This Row],[Agiotage]])/(TabTRADER[[#This Row],[M]]-TabTRADER[[#This Row],[A]])-1</f>
        <v>17.268830282755012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-16,170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-63.8%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-19,050$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-32,544$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75.0% = 1,106</v>
      </c>
      <c r="I54" s="245" t="str">
        <f ca="1">IFERROR(TRUNC(TabCalc[[#This Row],[L_S1p]],2)&amp;"x"&amp;TabCalc[[#This Row],[L_S1n]]&amp;"=   "&amp;TEXT(TabCalc[[#This Row],[ReverseB1]],"#,#0"),"")</f>
        <v>8.63x3000=   7,800</v>
      </c>
      <c r="J54" s="318">
        <f ca="1">_xlfn.XLOOKUP(TabTRADER[[#This Row],[ClickTick]],TabCalc[Ticker],ListGravity)</f>
        <v>1.8242122719734659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25326</v>
      </c>
      <c r="M54" s="346">
        <f ca="1">_xlfn.XLOOKUP(TabTRADER[[#This Row],[ClickTick]],TabCalc[Ticker],TabCalc[Agiotage])</f>
        <v>0.8378930811488462</v>
      </c>
      <c r="N54" s="347" cm="1">
        <f t="array" aca="1" ref="N54" ca="1">_xlfn.XLOOKUP(TabTRADER[[#This Row],[ClickTick]],ListTickers,Tab2RSIConventional[RSIConv20])</f>
        <v>38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-0.38967611336032393</v>
      </c>
      <c r="S54" s="743">
        <f ca="1">_xlfn.XLOOKUP(TabTRADER[[#This Row],[ClickTick]],SORTING!AG$3:AG$95,SORTING!AH$3:AH$95)*(1-Commission)</f>
        <v>-16129.575000000003</v>
      </c>
      <c r="T54" s="866">
        <f ca="1">_xlfn.XLOOKUP(TabTRADER[[#This Row],[ClickTick]],TabCalc[Ticker],TabCalc[Agiotage])</f>
        <v>0.8378930811488462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-150&lt;=-150 / -0.7%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6.03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-6.5900000000000004E-3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0.63597429519071325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-0.57025772686876675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0.63847429519071319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16129.575000000003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0.634912935323383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19169.954999999998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-3.85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-0.38830730432668931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0.634912935323383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0.42843601895734601</v>
      </c>
      <c r="AW54" s="796">
        <f ca="1">TabTRADER[[#This Row],[L_Sn]]*(TabTRADER[[#This Row],[M]]-TabTRADER[[#This Row],[L_Sp]])*(1-Commission)*TabTRADER[[#This Row],[Scale]]</f>
        <v>-32462.640000000007</v>
      </c>
      <c r="AX54" s="754">
        <f ca="1">TabTRADER[[#This Row],[L_Sn]]*(TabTRADER[[#This Row],[Agiotage]]-TabTRADER[[#This Row],[M]])/(TabTRADER[[#This Row],[L_Bn]]*TabTRADER[[#This Row],[M]])</f>
        <v>-1.4760787260415507</v>
      </c>
      <c r="AY54" s="690">
        <f ca="1">IFERROR((TabTRADER[[#This Row],[M]]-TabTRADER[[#This Row],[A]])/TabTRADER[[#This Row],[A]],0)</f>
        <v>-0.38928050559066596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-19,170$</v>
      </c>
      <c r="BA54" s="744">
        <f ca="1">_xlfn.XLOOKUP(TabTRADER[[#This Row],[ClickTick]],TabCalc[[#This Row],[Ticker]],TabCalc[[#This Row],[GL]])*(1-Commission)</f>
        <v>-58893.028424999997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0.63847429519071319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-1.75954734472178E-3</v>
      </c>
      <c r="BL54" s="749">
        <f ca="1">(TabTRADER[[#This Row],[M]]-TabTRADER[[#This Row],[Agiotage]])/(TabTRADER[[#This Row],[M]]-TabTRADER[[#This Row],[A]])-1</f>
        <v>-2.3508447598218218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-1,366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1.7228426966292136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97872.41</v>
      </c>
      <c r="M55" s="346">
        <f ca="1">_xlfn.XLOOKUP(TabTRADER[[#This Row],[ClickTick]],TabCalc[Ticker],TabCalc[Agiotage])</f>
        <v>2.2413793103448276E-2</v>
      </c>
      <c r="N55" s="347" cm="1">
        <f t="array" aca="1" ref="N55" ca="1">_xlfn.XLOOKUP(TabTRADER[[#This Row],[ClickTick]],ListTickers,Tab2RSIConventional[RSIConv20])</f>
        <v>36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-7.1258960655294662E-2</v>
      </c>
      <c r="S55" s="743">
        <f ca="1">_xlfn.XLOOKUP(TabTRADER[[#This Row],[ClickTick]],SORTING!AG$3:AG$95,SORTING!AH$3:AH$95)*(1-Commission)</f>
        <v>-1362.3156750000005</v>
      </c>
      <c r="T55" s="866">
        <f ca="1">_xlfn.XLOOKUP(TabTRADER[[#This Row],[ClickTick]],TabCalc[Ticker],TabCalc[Agiotage])</f>
        <v>2.2413793103448276E-2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1,010&lt;=1,010 / 0.2%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0.89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2.2520000000000001E-3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Pile-189/449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7.4226404494382045E-2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-0.51306451671812159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7.6726404494382047E-2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1362.3156750000005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0.41795788647013016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188502.36008131501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-0.29526165171724311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0.41795788647013016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-0.29600165585688532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-188,502$</v>
      </c>
      <c r="BA55" s="744">
        <f ca="1">_xlfn.XLOOKUP(TabTRADER[[#This Row],[ClickTick]],TabCalc[[#This Row],[Ticker]],TabCalc[[#This Row],[GL]])*(1-Commission)</f>
        <v>-188502.36008131501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AMY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7.6726404494382047E-2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-3.3184627858665849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-2,250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-10.1%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-4,920$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-6,475$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58.2% = 3,861</v>
      </c>
      <c r="I56" s="245" t="str">
        <f ca="1">IFERROR(TRUNC(TabCalc[[#This Row],[L_S1p]],2)&amp;"x"&amp;TabCalc[[#This Row],[L_S1n]]&amp;"=   "&amp;TEXT(TabCalc[[#This Row],[ReverseB1]],"#,#0"),"")</f>
        <v>3.96x5000=   8,676</v>
      </c>
      <c r="J56" s="318">
        <f ca="1">_xlfn.XLOOKUP(TabTRADER[[#This Row],[ClickTick]],TabCalc[Ticker],ListGravity)</f>
        <v>1.4606741573033708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0.41372923122963995</v>
      </c>
      <c r="N56" s="347" cm="1">
        <f t="array" aca="1" ref="N56" ca="1">_xlfn.XLOOKUP(TabTRADER[[#This Row],[ClickTick]],ListTickers,Tab2RSIConventional[RSIConv20])</f>
        <v>51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-9.1836734693877584E-2</v>
      </c>
      <c r="S56" s="743">
        <f ca="1">_xlfn.XLOOKUP(TabTRADER[[#This Row],[ClickTick]],SORTING!AG$3:AG$95,SORTING!AH$3:AH$95)*(1-Commission)</f>
        <v>-2244.3750000000009</v>
      </c>
      <c r="T56" s="866">
        <f ca="1">_xlfn.XLOOKUP(TabTRADER[[#This Row],[ClickTick]],TabCalc[Ticker],TabCalc[Agiotage])</f>
        <v>0.41372923122963995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-450&lt;=-450 / -1.1%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2.2250000000000001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-1.1110999999999999E-2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6458.8125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0.36789772727272724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-9.082753980713168E-2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2244.3750000000009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-9.1607142857142901E-2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9.8623595505618014E-2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0.36789772727272724</v>
      </c>
      <c r="AW56" s="796">
        <f ca="1">TabTRADER[[#This Row],[L_Sn]]*(TabTRADER[[#This Row],[M]]-TabTRADER[[#This Row],[L_Sp]])*(1-Commission)*TabTRADER[[#This Row],[Scale]]</f>
        <v>-6458.8125</v>
      </c>
      <c r="AX56" s="754">
        <f ca="1">TabTRADER[[#This Row],[L_Sn]]*(TabTRADER[[#This Row],[Agiotage]]-TabTRADER[[#This Row],[M]])/(TabTRADER[[#This Row],[L_Bn]]*TabTRADER[[#This Row],[M]])</f>
        <v>-0.40702713904951915</v>
      </c>
      <c r="AY56" s="690">
        <f ca="1">IFERROR((TabTRADER[[#This Row],[M]]-TabTRADER[[#This Row],[A]])/TabTRADER[[#This Row],[A]],0)</f>
        <v>-9.1836734693877584E-2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-2,244$</v>
      </c>
      <c r="BA56" s="744">
        <f ca="1">_xlfn.XLOOKUP(TabTRADER[[#This Row],[ClickTick]],TabCalc[[#This Row],[Ticker]],TabCalc[[#This Row],[GL]])*(1-Commission)</f>
        <v>9237.2639624999974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-5.4338123063110808E-4</v>
      </c>
      <c r="BL56" s="749">
        <f ca="1">(TabTRADER[[#This Row],[M]]-TabTRADER[[#This Row],[Agiotage]])/(TabTRADER[[#This Row],[M]]-TabTRADER[[#This Row],[A]])-1</f>
        <v>-9.0500923056460429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-3,990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-1,900$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-12,450$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45.2% = 402</v>
      </c>
      <c r="I57" s="245" t="str">
        <f ca="1">IFERROR(TRUNC(TabCalc[[#This Row],[L_S1p]],2)&amp;"x"&amp;TabCalc[[#This Row],[L_S1n]]&amp;"=   "&amp;TEXT(TabCalc[[#This Row],[ReverseB1]],"#,#0"),"")</f>
        <v>40.59x1000=   13,035</v>
      </c>
      <c r="J57" s="318">
        <f ca="1">_xlfn.XLOOKUP(TabTRADER[[#This Row],[ClickTick]],TabCalc[Ticker],ListGravity)</f>
        <v>1.2902757619738754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275600</v>
      </c>
      <c r="M57" s="346">
        <f ca="1">_xlfn.XLOOKUP(TabTRADER[[#This Row],[ClickTick]],TabCalc[Ticker],TabCalc[Agiotage])</f>
        <v>0.84064482926332695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-8.8021178027796174E-2</v>
      </c>
      <c r="S57" s="743">
        <f ca="1">_xlfn.XLOOKUP(TabTRADER[[#This Row],[ClickTick]],SORTING!AG$3:AG$95,SORTING!AH$3:AH$95)*(1-Commission)</f>
        <v>-3980.0250000000001</v>
      </c>
      <c r="T57" s="866">
        <f ca="1">_xlfn.XLOOKUP(TabTRADER[[#This Row],[ClickTick]],TabCalc[Ticker],TabCalc[Agiotage])</f>
        <v>0.84064482926332695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2,280&lt;=2,280 / 1.0%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27.56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9.894E-3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Pile-69/331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9.4016690856313506E-2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-0.40625159089752078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9.6516690856313508E-2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3980.0250000000005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0.21801886792452846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72747.675000000061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-2.66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-0.18022463768115954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0.21801886792452846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0.31117220694826292</v>
      </c>
      <c r="AW57" s="796">
        <f ca="1">TabTRADER[[#This Row],[L_Sn]]*(TabTRADER[[#This Row],[M]]-TabTRADER[[#This Row],[L_Sp]])*(1-Commission)*TabTRADER[[#This Row],[Scale]]</f>
        <v>-12418.875</v>
      </c>
      <c r="AX57" s="754">
        <f ca="1">TabTRADER[[#This Row],[L_Sn]]*(TabTRADER[[#This Row],[Agiotage]]-TabTRADER[[#This Row],[M]])/(TabTRADER[[#This Row],[L_Bn]]*TabTRADER[[#This Row],[M]])</f>
        <v>-0.64633176513634905</v>
      </c>
      <c r="AY57" s="690">
        <f ca="1">IFERROR((TabTRADER[[#This Row],[M]]-TabTRADER[[#This Row],[A]])/TabTRADER[[#This Row],[A]],0)</f>
        <v>-0.18067632850241558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-72,748$</v>
      </c>
      <c r="BA57" s="744">
        <f ca="1">_xlfn.XLOOKUP(TabTRADER[[#This Row],[ClickTick]],TabCalc[[#This Row],[Ticker]],TabCalc[[#This Row],[GL]])*(1-Commission)</f>
        <v>-68655.327510000017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9.6516690856313508E-2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-2.8945968101631393E-2</v>
      </c>
      <c r="BL57" s="749">
        <f ca="1">(TabTRADER[[#This Row],[M]]-TabTRADER[[#This Row],[Agiotage]])/(TabTRADER[[#This Row],[M]]-TabTRADER[[#This Row],[A]])-1</f>
        <v>-5.3964385307670346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+45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28.8%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49$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8,865$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-19.1% = 0</v>
      </c>
      <c r="I58" s="245" t="str">
        <f ca="1">IFERROR(TRUNC(TabCalc[[#This Row],[L_S1p]],2)&amp;"x"&amp;TabCalc[[#This Row],[L_S1n]]&amp;"=   "&amp;TEXT(TabCalc[[#This Row],[ReverseB1]],"#,#0"),"")</f>
        <v>11.65x3000=   -11,621</v>
      </c>
      <c r="J58" s="318">
        <f ca="1">_xlfn.XLOOKUP(TabTRADER[[#This Row],[ClickTick]],TabCalc[Ticker],ListGravity)</f>
        <v>1.0878093397745572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1.2674223751841054</v>
      </c>
      <c r="N58" s="347" cm="1">
        <f t="array" aca="1" ref="N58" ca="1">_xlfn.XLOOKUP(TabTRADER[[#This Row],[ClickTick]],ListTickers,Tab2RSIConventional[RSIConv20])</f>
        <v>52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0.40370705244122962</v>
      </c>
      <c r="S58" s="743">
        <f ca="1">_xlfn.XLOOKUP(TabTRADER[[#This Row],[ClickTick]],SORTING!AG$3:AG$95,SORTING!AH$3:AH$95)*(1-Commission)</f>
        <v>44.538375000000002</v>
      </c>
      <c r="T58" s="866">
        <f ca="1">_xlfn.XLOOKUP(TabTRADER[[#This Row],[ClickTick]],TabCalc[Ticker],TabCalc[Agiotage])</f>
        <v>1.2674223751841054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2&lt;=2 / 1.5%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15.525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1.5038000000000001E-2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0.18848228663446054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29.575875</v>
      </c>
      <c r="AJ58" s="1144">
        <f ca="1">_xlfn.XLOOKUP(TabTRADER[[#This Row],[ClickTick]],TabCalc[Ticker],TabCalc[Ann%RevLB])</f>
        <v>0.62108777298650708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0.40120705244122962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62.518831091772149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10x4.46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0.40269778481012658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-0.29010064412238323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-0.23606687898089171</v>
      </c>
      <c r="AW58" s="796">
        <f ca="1">TabTRADER[[#This Row],[L_Sn]]*(TabTRADER[[#This Row],[M]]-TabTRADER[[#This Row],[L_Sp]])*(1-Commission)*TabTRADER[[#This Row],[Scale]]</f>
        <v>8843.1866250000003</v>
      </c>
      <c r="AX58" s="754">
        <f ca="1">TabTRADER[[#This Row],[L_Sn]]*(TabTRADER[[#This Row],[Agiotage]]-TabTRADER[[#This Row],[M]])/(TabTRADER[[#This Row],[L_Bn]]*TabTRADER[[#This Row],[M]])</f>
        <v>-0.45765063980890525</v>
      </c>
      <c r="AY58" s="690">
        <f ca="1">IFERROR((TabTRADER[[#This Row],[M]]-TabTRADER[[#This Row],[A]])/TabTRADER[[#This Row],[A]],0)</f>
        <v>0.40370705244122962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45$</v>
      </c>
      <c r="BA58" s="744">
        <f ca="1">_xlfn.XLOOKUP(TabTRADER[[#This Row],[ClickTick]],TabCalc[[#This Row],[Ticker]],TabCalc[[#This Row],[GL]])*(1-Commission)</f>
        <v>18069.847162500017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0.19098228663446054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-1.4305261830918958</v>
      </c>
      <c r="BL58" s="749">
        <f ca="1">(TabTRADER[[#This Row],[M]]-TabTRADER[[#This Row],[Agiotage]])/(TabTRADER[[#This Row],[M]]-TabTRADER[[#This Row],[A]])-1</f>
        <v>2.1931864781222608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+15,376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2,601/40,000=38,715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4,584$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3,536$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59" s="245" t="str">
        <f ca="1">IFERROR(TRUNC(TabCalc[[#This Row],[L_S1p]],2)&amp;"x"&amp;TabCalc[[#This Row],[L_S1n]]&amp;"=   "&amp;TEXT(TabCalc[[#This Row],[ReverseB1]],"#,#0"),"")</f>
        <v>14.26x4000=   -2,472</v>
      </c>
      <c r="J59" s="318">
        <f ca="1">_xlfn.XLOOKUP(TabTRADER[[#This Row],[ClickTick]],TabCalc[Ticker],ListGravity)</f>
        <v>1.0233839537696547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446460</v>
      </c>
      <c r="M59" s="346">
        <f ca="1">_xlfn.XLOOKUP(TabTRADER[[#This Row],[ClickTick]],TabCalc[Ticker],TabCalc[Agiotage])</f>
        <v>0.73234913528008072</v>
      </c>
      <c r="N59" s="347" cm="1">
        <f t="array" aca="1" ref="N59" ca="1">_xlfn.XLOOKUP(TabTRADER[[#This Row],[ClickTick]],ListTickers,Tab2RSIConventional[RSIConv20])</f>
        <v>43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0.14830246913580236</v>
      </c>
      <c r="S59" s="743">
        <f ca="1">_xlfn.XLOOKUP(TabTRADER[[#This Row],[ClickTick]],SORTING!AG$3:AG$95,SORTING!AH$3:AH$95)*(1-Commission)</f>
        <v>15337.559999999992</v>
      </c>
      <c r="T59" s="866">
        <f ca="1">_xlfn.XLOOKUP(TabTRADER[[#This Row],[ClickTick]],TabCalc[Ticker],TabCalc[Agiotage])</f>
        <v>0.73234913528008072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2,080&lt;=2,080 / -0.3%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14.882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-2.6810000000000002E-3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^36/595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2.7200309098239499E-2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3527.1600000000017</v>
      </c>
      <c r="AJ59" s="1144">
        <f ca="1">_xlfn.XLOOKUP(TabTRADER[[#This Row],[ClickTick]],TabCalc[Ticker],TabCalc[Ann%RevLB])</f>
        <v>0.50846560846560807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9.454806201321804E-2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57626.34342934037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8,000x1.31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9.6805441858185001E-2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-9.0962908211261892E-2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-3.0609418282548491E-2</v>
      </c>
      <c r="AW59" s="796">
        <f ca="1">TabTRADER[[#This Row],[L_Sn]]*(TabTRADER[[#This Row],[M]]-TabTRADER[[#This Row],[L_Sp]])*(1-Commission)*TabTRADER[[#This Row],[Scale]]</f>
        <v>3527.1600000000017</v>
      </c>
      <c r="AX59" s="754">
        <f ca="1">TabTRADER[[#This Row],[L_Sn]]*(TabTRADER[[#This Row],[Agiotage]]-TabTRADER[[#This Row],[M]])/(TabTRADER[[#This Row],[L_Bn]]*TabTRADER[[#This Row],[M]])</f>
        <v>-0.95078960252116107</v>
      </c>
      <c r="AY59" s="690">
        <f ca="1">IFERROR((TabTRADER[[#This Row],[M]]-TabTRADER[[#This Row],[A]])/TabTRADER[[#This Row],[A]],0)</f>
        <v>9.7048062013218042E-2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52,529$</v>
      </c>
      <c r="BA59" s="744">
        <f ca="1">_xlfn.XLOOKUP(TabTRADER[[#This Row],[ClickTick]],TabCalc[[#This Row],[Ticker]],TabCalc[[#This Row],[GL]])*(1-Commission)</f>
        <v>35840.951054999932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2.9700309098239498E-2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-2.1224476297079875E-3</v>
      </c>
      <c r="BL59" s="749">
        <f ca="1">(TabTRADER[[#This Row],[M]]-TabTRADER[[#This Row],[Agiotage]])/(TabTRADER[[#This Row],[M]]-TabTRADER[[#This Row],[A]])-1</f>
        <v>9.7478899546298159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-15,171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-13,454$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2029</v>
      </c>
      <c r="M60" s="346">
        <f ca="1">_xlfn.XLOOKUP(TabTRADER[[#This Row],[ClickTick]],TabCalc[Ticker],TabCalc[Agiotage])</f>
        <v>0.1144557343760981</v>
      </c>
      <c r="N60" s="347" cm="1">
        <f t="array" aca="1" ref="N60" ca="1">_xlfn.XLOOKUP(TabTRADER[[#This Row],[ClickTick]],ListTickers,Tab2RSIConventional[RSIConv20])</f>
        <v>47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-0.8820348837209302</v>
      </c>
      <c r="S60" s="743">
        <f ca="1">_xlfn.XLOOKUP(TabTRADER[[#This Row],[ClickTick]],SORTING!AG$3:AG$95,SORTING!AH$3:AH$95)*(1-Commission)</f>
        <v>-15133.072499999998</v>
      </c>
      <c r="T60" s="866">
        <f ca="1">_xlfn.XLOOKUP(TabTRADER[[#This Row],[ClickTick]],TabCalc[Ticker],TabCalc[Agiotage])</f>
        <v>0.1144557343760981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-97&lt;=-97 / -1.3%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0.2029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-1.2652000000000002E-2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-1.3686748195669607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15133.072499999998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11.754194595038607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28553.637000000006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-0.9193057630392788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11.754194595038607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-0.92160978750804889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-28,554$</v>
      </c>
      <c r="BA60" s="744">
        <f ca="1">_xlfn.XLOOKUP(TabTRADER[[#This Row],[ClickTick]],TabCalc[[#This Row],[Ticker]],TabCalc[[#This Row],[GL]])*(1-Commission)</f>
        <v>-28553.637000000002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-1.0370768129999728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-3,642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35,340$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9,790$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17.1% = 0</v>
      </c>
      <c r="I61" s="245" t="str">
        <f ca="1">IFERROR(TRUNC(TabCalc[[#This Row],[L_S1p]],2)&amp;"x"&amp;TabCalc[[#This Row],[L_S1n]]&amp;"=   "&amp;TEXT(TabCalc[[#This Row],[ReverseB1]],"#,#0"),"")</f>
        <v>45.76x1000=   -11,500</v>
      </c>
      <c r="J61" s="318">
        <f ca="1">_xlfn.XLOOKUP(TabTRADER[[#This Row],[ClickTick]],TabCalc[Ticker],ListGravity)</f>
        <v>1.0599022004889975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0.67086524117354551</v>
      </c>
      <c r="N61" s="347" cm="1">
        <f t="array" aca="1" ref="N61" ca="1">_xlfn.XLOOKUP(TabTRADER[[#This Row],[ClickTick]],ListTickers,Tab2RSIConventional[RSIConv20])</f>
        <v>46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-3.096970722626511E-2</v>
      </c>
      <c r="S61" s="743">
        <f ca="1">_xlfn.XLOOKUP(TabTRADER[[#This Row],[ClickTick]],SORTING!AG$3:AG$95,SORTING!AH$3:AH$95)*(1-Commission)</f>
        <v>-3632.5957500000109</v>
      </c>
      <c r="T61" s="866">
        <f ca="1">_xlfn.XLOOKUP(TabTRADER[[#This Row],[ClickTick]],TabCalc[Ticker],TabCalc[Agiotage])</f>
        <v>0.67086524117354551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-1,080&lt;=-1,080 / -0.6%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57.26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-5.9030000000000003E-3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2.9459483059727658E-2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-0.39818195005197998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3.1959483059727657E-2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3632.5957500000113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2.7756723716381451E-2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3456.3375000000037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1.0%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-1.83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-2.9294719667754408E-2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2.7756723716381451E-2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-0.20623551716873814</v>
      </c>
      <c r="AW61" s="796">
        <f ca="1">TabTRADER[[#This Row],[L_Sn]]*(TabTRADER[[#This Row],[M]]-TabTRADER[[#This Row],[L_Sp]])*(1-Commission)*TabTRADER[[#This Row],[Scale]]</f>
        <v>9765.5249999999996</v>
      </c>
      <c r="AX61" s="754">
        <f ca="1">TabTRADER[[#This Row],[L_Sn]]*(TabTRADER[[#This Row],[Agiotage]]-TabTRADER[[#This Row],[M]])/(TabTRADER[[#This Row],[L_Bn]]*TabTRADER[[#This Row],[M]])</f>
        <v>-0.49662506348390972</v>
      </c>
      <c r="AY61" s="690">
        <f ca="1">IFERROR((TabTRADER[[#This Row],[M]]-TabTRADER[[#This Row],[A]])/TabTRADER[[#This Row],[A]],0)</f>
        <v>-2.9368140017798902E-2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-3,456$</v>
      </c>
      <c r="BA61" s="744">
        <f ca="1">_xlfn.XLOOKUP(TabTRADER[[#This Row],[ClickTick]],TabCalc[[#This Row],[Ticker]],TabCalc[[#This Row],[GL]])*(1-Commission)</f>
        <v>89345.127375000011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3.1959483059727657E-2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-8.4883702138239675E-2</v>
      </c>
      <c r="BL61" s="749">
        <f ca="1">(TabTRADER[[#This Row],[M]]-TabTRADER[[#This Row],[Agiotage]])/(TabTRADER[[#This Row],[M]]-TabTRADER[[#This Row],[A]])-1</f>
        <v>-33.66328124607584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-1,350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166,667</v>
      </c>
      <c r="F62" s="245" t="str">
        <f ca="1">TRUNC(TabCalc[[#This Row],[L_B1p]],2)&amp;"x"&amp;TabCalc[[#This Row],[L_B1n]]&amp;"=   "&amp;TEXT(TabCalc[[#This Row],[ReverseS1]],"#,#0")&amp;"$"</f>
        <v>-13.19x6000=   4,260$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166,667</v>
      </c>
      <c r="I62" s="245" t="str">
        <f ca="1">IFERROR(TRUNC(TabCalc[[#This Row],[L_S1p]],2)&amp;"x"&amp;TabCalc[[#This Row],[L_S1n]]&amp;"=   "&amp;TEXT(TabCalc[[#This Row],[ReverseB1]],"#,#0"),"")</f>
        <v>13.3x3000=   -1,800</v>
      </c>
      <c r="J62" s="318">
        <f ca="1">_xlfn.XLOOKUP(TabTRADER[[#This Row],[ClickTick]],TabCalc[Ticker],ListGravity)</f>
        <v>1.0733812949640287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190430</v>
      </c>
      <c r="M62" s="346">
        <f ca="1">_xlfn.XLOOKUP(TabTRADER[[#This Row],[ClickTick]],TabCalc[Ticker],TabCalc[Agiotage])</f>
        <v>0.48995123707291532</v>
      </c>
      <c r="N62" s="347" cm="1">
        <f t="array" aca="1" ref="N62" ca="1">_xlfn.XLOOKUP(TabTRADER[[#This Row],[ClickTick]],ListTickers,Tab2RSIConventional[RSIConv20])</f>
        <v>29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-3.1358885017421553E-2</v>
      </c>
      <c r="S62" s="743">
        <f ca="1">_xlfn.XLOOKUP(TabTRADER[[#This Row],[ClickTick]],SORTING!AG$3:AG$95,SORTING!AH$3:AH$95)*(1-Commission)</f>
        <v>-1346.624999999998</v>
      </c>
      <c r="T62" s="866">
        <f ca="1">_xlfn.XLOOKUP(TabTRADER[[#This Row],[ClickTick]],TabCalc[Ticker],TabCalc[Agiotage])</f>
        <v>0.48995123707291532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-945&lt;=-945 / 0.1%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7.1989999999999999E-4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2.9874100719424413E-2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-0.40318566450970567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3.2374100719424412E-2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1346.624999999998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-0.14018413840356289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-40089.525000000009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0.6%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-0.44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0.15926870207778798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-0.14018413840356289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2.1536252692031127E-3</v>
      </c>
      <c r="AW62" s="796">
        <f ca="1">TabTRADER[[#This Row],[L_Sn]]*(TabTRADER[[#This Row],[M]]-TabTRADER[[#This Row],[L_Sp]])*(1-Commission)*TabTRADER[[#This Row],[Scale]]</f>
        <v>-59.84999999999873</v>
      </c>
      <c r="AX62" s="754">
        <f ca="1">TabTRADER[[#This Row],[L_Sn]]*(TabTRADER[[#This Row],[Agiotage]]-TabTRADER[[#This Row],[M]])/(TabTRADER[[#This Row],[L_Bn]]*TabTRADER[[#This Row],[M]])</f>
        <v>-0.64316780637539972</v>
      </c>
      <c r="AY62" s="690">
        <f ca="1">IFERROR((TabTRADER[[#This Row],[M]]-TabTRADER[[#This Row],[A]])/TabTRADER[[#This Row],[A]],0)</f>
        <v>0.15966787175718092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40,090$</v>
      </c>
      <c r="BA62" s="744">
        <f ca="1">_xlfn.XLOOKUP(TabTRADER[[#This Row],[ClickTick]],TabCalc[[#This Row],[Ticker]],TabCalc[[#This Row],[GL]])*(1-Commission)</f>
        <v>96790.467374999993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3.2374100719424412E-2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-7.3435981320791183E-3</v>
      </c>
      <c r="BL62" s="749">
        <f ca="1">(TabTRADER[[#This Row],[M]]-TabTRADER[[#This Row],[Agiotage]])/(TabTRADER[[#This Row],[M]]-TabTRADER[[#This Row],[A]])-1</f>
        <v>6.0069923866998929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10,277$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63" s="245" t="str">
        <f ca="1">IFERROR(TRUNC(TabCalc[[#This Row],[L_S1p]],2)&amp;"x"&amp;TabCalc[[#This Row],[L_S1n]]&amp;"=   "&amp;TEXT(TabCalc[[#This Row],[ReverseB1]],"#,#0"),"")</f>
        <v>29.29x4000=   -26,560</v>
      </c>
      <c r="J63" s="318">
        <f ca="1">_xlfn.XLOOKUP(TabTRADER[[#This Row],[ClickTick]],TabCalc[Ticker],ListGravity)</f>
        <v>1.1942975229613138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0.95258558395808868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8.5662486780480468E-2</v>
      </c>
      <c r="S63" s="743">
        <f ca="1">_xlfn.XLOOKUP(TabTRADER[[#This Row],[ClickTick]],SORTING!AG$3:AG$95,SORTING!AH$3:AH$95)*(1-Commission)</f>
        <v>2.8279125000000009</v>
      </c>
      <c r="T63" s="866">
        <f ca="1">_xlfn.XLOOKUP(TabTRADER[[#This Row],[ClickTick]],TabCalc[Ticker],TabCalc[Agiotage])</f>
        <v>0.95258558395808868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35.93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5.0349999999999995E-3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2.5635750000000006</v>
      </c>
      <c r="AJ63" s="1144">
        <f ca="1">_xlfn.XLOOKUP(TabTRADER[[#This Row],[ClickTick]],TabCalc[Ticker],TabCalc[Ann%RevLB])</f>
        <v>0.23186838527047346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8.3162486780480466E-2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3.0701585171476067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1x2.83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8.5448330563529268E-2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-8.1403423323128332E-2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-7.7038369304556362E-2</v>
      </c>
      <c r="AW63" s="796">
        <f ca="1">TabTRADER[[#This Row],[L_Sn]]*(TabTRADER[[#This Row],[M]]-TabTRADER[[#This Row],[L_Sp]])*(1-Commission)*TabTRADER[[#This Row],[Scale]]</f>
        <v>10251.736425000001</v>
      </c>
      <c r="AX63" s="754">
        <f ca="1">TabTRADER[[#This Row],[L_Sn]]*(TabTRADER[[#This Row],[Agiotage]]-TabTRADER[[#This Row],[M]])/(TabTRADER[[#This Row],[L_Bn]]*TabTRADER[[#This Row],[M]])</f>
        <v>-1.2976591543719418</v>
      </c>
      <c r="AY63" s="690">
        <f ca="1">IFERROR((TabTRADER[[#This Row],[M]]-TabTRADER[[#This Row],[A]])/TabTRADER[[#This Row],[A]],0)</f>
        <v>8.5662486780480468E-2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37457.192324999989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-34.986160956280976</v>
      </c>
      <c r="BL63" s="749">
        <f ca="1">(TabTRADER[[#This Row],[M]]-TabTRADER[[#This Row],[Agiotage]])/(TabTRADER[[#This Row],[M]]-TabTRADER[[#This Row],[A]])-1</f>
        <v>11.337712316064161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-6,000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-13.6%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-7,740$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-23,290$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21.1% = 107</v>
      </c>
      <c r="I64" s="245" t="str">
        <f ca="1">IFERROR(TRUNC(TabCalc[[#This Row],[L_S1p]],2)&amp;"x"&amp;TabCalc[[#This Row],[L_S1n]]&amp;"=   "&amp;TEXT(TabCalc[[#This Row],[ReverseB1]],"#,#0"),"")</f>
        <v>263.8x500=   21,450</v>
      </c>
      <c r="J64" s="318">
        <f ca="1">_xlfn.XLOOKUP(TabTRADER[[#This Row],[ClickTick]],TabCalc[Ticker],ListGravity)</f>
        <v>1.3214593481213219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1.0463940754867882</v>
      </c>
      <c r="N64" s="347" cm="1">
        <f t="array" aca="1" ref="N64" ca="1">_xlfn.XLOOKUP(TabTRADER[[#This Row],[ClickTick]],ListTickers,Tab2RSIConventional[RSIConv20])</f>
        <v>46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-0.1195695496213631</v>
      </c>
      <c r="S64" s="743">
        <f ca="1">_xlfn.XLOOKUP(TabTRADER[[#This Row],[ClickTick]],SORTING!AG$3:AG$95,SORTING!AH$3:AH$95)*(1-Commission)</f>
        <v>-5985</v>
      </c>
      <c r="T64" s="866">
        <f ca="1">_xlfn.XLOOKUP(TabTRADER[[#This Row],[ClickTick]],TabCalc[Ticker],TabCalc[Agiotage])</f>
        <v>1.0463940754867882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401&lt;=401 / 0.5%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220.9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5.004999999999999E-3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Pile^52/89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0.13330805794477138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-0.84402035026844546</v>
      </c>
      <c r="AK64" s="1143">
        <f ca="1">_xlfn.XLOOKUP(TabTRADER[[#This Row],[ClickTick]],TabCalc[Ticker],TabCalc[Up20])</f>
        <v>0.42857142857142855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0.13580805794477138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0.15308636229706402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13747.525050000002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-30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-0.13430185874019956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0.15308636229706402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0.17414386122326905</v>
      </c>
      <c r="AW64" s="796">
        <f ca="1">TabTRADER[[#This Row],[L_Sn]]*(TabTRADER[[#This Row],[M]]-TabTRADER[[#This Row],[L_Sp]])*(1-Commission)*TabTRADER[[#This Row],[Scale]]</f>
        <v>-23231.775000000009</v>
      </c>
      <c r="AX64" s="754">
        <f ca="1">TabTRADER[[#This Row],[L_Sn]]*(TabTRADER[[#This Row],[Agiotage]]-TabTRADER[[#This Row],[M]])/(TabTRADER[[#This Row],[L_Bn]]*TabTRADER[[#This Row],[M]])</f>
        <v>-2.4881576043969353</v>
      </c>
      <c r="AY64" s="690">
        <f ca="1">IFERROR((TabTRADER[[#This Row],[M]]-TabTRADER[[#This Row],[A]])/TabTRADER[[#This Row],[A]],0)</f>
        <v>-0.13463845487739304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-13,748$</v>
      </c>
      <c r="BA64" s="744">
        <f ca="1">_xlfn.XLOOKUP(TabTRADER[[#This Row],[ClickTick]],TabCalc[[#This Row],[Ticker]],TabCalc[[#This Row],[GL]])*(1-Commission)</f>
        <v>52243.101907499935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0.13580805794477138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-0.98797056826925878</v>
      </c>
      <c r="BL64" s="749">
        <f ca="1">(TabTRADER[[#This Row],[M]]-TabTRADER[[#This Row],[Agiotage]])/(TabTRADER[[#This Row],[M]]-TabTRADER[[#This Row],[A]])-1</f>
        <v>-7.396852700100407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-46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-15$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-4,724$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26.7% = 517</v>
      </c>
      <c r="I65" s="245" t="str">
        <f ca="1">IFERROR(TRUNC(TabCalc[[#This Row],[L_S1p]],2)&amp;"x"&amp;TabCalc[[#This Row],[L_S1n]]&amp;"=   "&amp;TEXT(TabCalc[[#This Row],[ReverseB1]],"#,#0"),"")</f>
        <v>51.5x490=   7,473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18668.75</v>
      </c>
      <c r="M65" s="346">
        <f ca="1">_xlfn.XLOOKUP(TabTRADER[[#This Row],[ClickTick]],TabCalc[Ticker],TabCalc[Agiotage])</f>
        <v>0.13715846994535519</v>
      </c>
      <c r="N65" s="347" cm="1">
        <f t="array" aca="1" ref="N65" ca="1">_xlfn.XLOOKUP(TabTRADER[[#This Row],[ClickTick]],ListTickers,Tab2RSIConventional[RSIConv20])</f>
        <v>53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-3.1396125584502263E-2</v>
      </c>
      <c r="S65" s="743">
        <f ca="1">_xlfn.XLOOKUP(TabTRADER[[#This Row],[ClickTick]],SORTING!AG$3:AG$95,SORTING!AH$3:AH$95)*(1-Commission)</f>
        <v>-45.710437499999891</v>
      </c>
      <c r="T65" s="866">
        <f ca="1">_xlfn.XLOOKUP(TabTRADER[[#This Row],[ClickTick]],TabCalc[Ticker],TabCalc[Agiotage])</f>
        <v>0.13715846994535519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420&lt;=420 / 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36.25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2.5459999999999997E-2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2.9913793103448199E-2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-0.20183223590037172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3.2413793103448198E-2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45.710437499999891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0.15448300492610839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3178.7881125000008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-0.13534386135930657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0.15448300492610839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0.21075549749618985</v>
      </c>
      <c r="AW65" s="796">
        <f ca="1">TabTRADER[[#This Row],[L_Sn]]*(TabTRADER[[#This Row],[M]]-TabTRADER[[#This Row],[L_Sp]])*(1-Commission)*TabTRADER[[#This Row],[Scale]]</f>
        <v>-4712.0304000000006</v>
      </c>
      <c r="AX65" s="754">
        <f ca="1">TabTRADER[[#This Row],[L_Sn]]*(TabTRADER[[#This Row],[Agiotage]]-TabTRADER[[#This Row],[M]])/(TabTRADER[[#This Row],[L_Bn]]*TabTRADER[[#This Row],[M]])</f>
        <v>-12.465475979958738</v>
      </c>
      <c r="AY65" s="690">
        <f ca="1">IFERROR((TabTRADER[[#This Row],[M]]-TabTRADER[[#This Row],[A]])/TabTRADER[[#This Row],[A]],0)</f>
        <v>-0.13568306903188629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-3,179$</v>
      </c>
      <c r="BA65" s="744">
        <f ca="1">_xlfn.XLOOKUP(TabTRADER[[#This Row],[ClickTick]],TabCalc[[#This Row],[Ticker]],TabCalc[[#This Row],[GL]])*(1-Commission)</f>
        <v>3371.9574787499978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3.2413793103448198E-2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-0.13848894146478799</v>
      </c>
      <c r="BL65" s="749">
        <f ca="1">(TabTRADER[[#This Row],[M]]-TabTRADER[[#This Row],[Agiotage]])/(TabTRADER[[#This Row],[M]]-TabTRADER[[#This Row],[A]])-1</f>
        <v>-7.3460138155680612</v>
      </c>
      <c r="BM65" t="str">
        <f ca="1">IF(ABS(TabTRADER[[#This Row],[L_Bp]])&gt;=TabTRADER[[#This Row],[M]],"OK")</f>
        <v>OK</v>
      </c>
    </row>
    <row r="66" spans="1:65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+10,228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15.1%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142/500=33,183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5" t="str">
        <f ca="1">TRUNC(TabCalc[[#This Row],[L_B1p]],2)&amp;"x"&amp;TabCalc[[#This Row],[L_B1n]]&amp;"=   "&amp;TEXT(TabCalc[[#This Row],[ReverseS1]],"#,#0")&amp;"$"</f>
        <v>-204.94x500=   14,560$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1,158$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66" s="245" t="str">
        <f ca="1">IFERROR(TRUNC(TabCalc[[#This Row],[L_S1p]],2)&amp;"x"&amp;TabCalc[[#This Row],[L_S1n]]&amp;"=   "&amp;TEXT(TabCalc[[#This Row],[ReverseB1]],"#,#0"),"")</f>
        <v>244.79x240=   2,573</v>
      </c>
      <c r="J66" s="318">
        <f ca="1">_xlfn.XLOOKUP(TabTRADER[[#This Row],[ClickTick]],TabCalc[Ticker],ListGravity)</f>
        <v>1.0062183534840006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1.0247636500725472</v>
      </c>
      <c r="N66" s="347" cm="1">
        <f t="array" aca="1" ref="N66" ca="1">_xlfn.XLOOKUP(TabTRADER[[#This Row],[ClickTick]],ListTickers,Tab2RSIConventional[RSIConv20])</f>
        <v>60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0.17741448692152909</v>
      </c>
      <c r="S66" s="743">
        <f ca="1">_xlfn.XLOOKUP(TabTRADER[[#This Row],[ClickTick]],SORTING!AG$3:AG$95,SORTING!AH$3:AH$95)*(1-Commission)</f>
        <v>10202.729249999997</v>
      </c>
      <c r="T66" s="866">
        <f ca="1">_xlfn.XLOOKUP(TabTRADER[[#This Row],[ClickTick]],TabCalc[Ticker],TabCalc[Agiotage])</f>
        <v>1.0247636500725472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2,425&lt;=2,425 / 1.8%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234.07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1.7562999999999999E-2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^111/117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32" t="str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6" s="834" t="str" cm="1">
        <f t="array" aca="1" ref="AG66" ca="1">_xlfn.IFS(  TabTRADER[[#This Row],[Traps]]=RePurchaseGain,TabTRADER[[#This Row],[Rev_Buy]],   TabTRADER[[#This Row],[Traps]]=ReSaleGain,TabTRADER[[#This Row],[Rev_Sale]], TRUE,"")</f>
        <v/>
      </c>
      <c r="AH66" s="1076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1.3990793352415881E-2</v>
      </c>
      <c r="AI66" s="918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1155.1049999999955</v>
      </c>
      <c r="AJ66" s="1144">
        <f ca="1">_xlfn.XLOOKUP(TabTRADER[[#This Row],[ClickTick]],TabCalc[Ticker],TabCalc[Ann%RevLB])</f>
        <v>0.68676575582527388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0.15093175142799206</v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17911.992815804115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290x31.13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0.15304817204942209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-0.13552195924296151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-1.6767299422266561E-2</v>
      </c>
      <c r="AW66" s="796">
        <f ca="1">TabTRADER[[#This Row],[L_Sn]]*(TabTRADER[[#This Row],[M]]-TabTRADER[[#This Row],[L_Sp]])*(1-Commission)*TabTRADER[[#This Row],[Scale]]</f>
        <v>1155.1049999999955</v>
      </c>
      <c r="AX66" s="754">
        <f ca="1">TabTRADER[[#This Row],[L_Sn]]*(TabTRADER[[#This Row],[Agiotage]]-TabTRADER[[#This Row],[M]])/(TabTRADER[[#This Row],[L_Bn]]*TabTRADER[[#This Row],[M]])</f>
        <v>-1.029953770165692</v>
      </c>
      <c r="AY66" s="690">
        <f ca="1">IFERROR((TabTRADER[[#This Row],[M]]-TabTRADER[[#This Row],[A]])/TabTRADER[[#This Row],[A]],0)</f>
        <v>0.15343175142799206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15,529$</v>
      </c>
      <c r="BA66" s="744">
        <f ca="1">_xlfn.XLOOKUP(TabTRADER[[#This Row],[ClickTick]],TabCalc[[#This Row],[Ticker]],TabCalc[[#This Row],[GL]])*(1-Commission)</f>
        <v>110313.36539999998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1.6490793352415881E-2</v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-1.2429079271996131</v>
      </c>
      <c r="BL66" s="749">
        <f ca="1">(TabTRADER[[#This Row],[M]]-TabTRADER[[#This Row],[Agiotage]])/(TabTRADER[[#This Row],[M]]-TabTRADER[[#This Row],[A]])-1</f>
        <v>6.4846437647813886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+7,450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336/2,000=76,560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1,094</v>
      </c>
      <c r="F67" s="245" t="str">
        <f ca="1">TRUNC(TabCalc[[#This Row],[L_B1p]],2)&amp;"x"&amp;TabCalc[[#This Row],[L_B1n]]&amp;"=   "&amp;TEXT(TabCalc[[#This Row],[ReverseS1]],"#,#0")&amp;"$"</f>
        <v>-193.49x250=   8,665$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-2,285$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1,094</v>
      </c>
      <c r="I67" s="245" t="str">
        <f ca="1">IFERROR(TRUNC(TabCalc[[#This Row],[L_S1p]],2)&amp;"x"&amp;TabCalc[[#This Row],[L_S1n]]&amp;"=   "&amp;TEXT(TabCalc[[#This Row],[ReverseB1]],"#,#0"),"")</f>
        <v>224x500=   -2,075</v>
      </c>
      <c r="J67" s="318">
        <f ca="1">_xlfn.XLOOKUP(TabTRADER[[#This Row],[ClickTick]],TabCalc[Ticker],ListGravity)</f>
        <v>1.153540784571554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1.0710485466714732</v>
      </c>
      <c r="N67" s="347" cm="1">
        <f t="array" aca="1" ref="N67" ca="1">_xlfn.XLOOKUP(TabTRADER[[#This Row],[ClickTick]],ListTickers,Tab2RSIConventional[RSIConv20])</f>
        <v>51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6.98710433763189E-2</v>
      </c>
      <c r="S67" s="743">
        <f ca="1">_xlfn.XLOOKUP(TabTRADER[[#This Row],[ClickTick]],SORTING!AG$3:AG$95,SORTING!AH$3:AH$95)*(1-Commission)</f>
        <v>7431.3750000000027</v>
      </c>
      <c r="T67" s="866">
        <f ca="1">_xlfn.XLOOKUP(TabTRADER[[#This Row],[ClickTick]],TabCalc[Ticker],TabCalc[Agiotage])</f>
        <v>1.0710485466714732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-4,400&lt;=-4,400 / -0.8%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228.15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-7.8279999999999999E-3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^174/456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7431.3750000000027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6.98710433763189E-2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0.27046855500510542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64225.972319474859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-0.12615768134998906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1.9637332416637992E-2</v>
      </c>
      <c r="AW67" s="796">
        <f ca="1">TabTRADER[[#This Row],[L_Sn]]*(TabTRADER[[#This Row],[M]]-TabTRADER[[#This Row],[L_Sp]])*(1-Commission)*TabTRADER[[#This Row],[Scale]]</f>
        <v>-2279.2874999999963</v>
      </c>
      <c r="AX67" s="754">
        <f ca="1">TabTRADER[[#This Row],[L_Sn]]*(TabTRADER[[#This Row],[Agiotage]]-TabTRADER[[#This Row],[M]])/(TabTRADER[[#This Row],[L_Bn]]*TabTRADER[[#This Row],[M]])</f>
        <v>-0.99530550713709642</v>
      </c>
      <c r="AY67" s="690">
        <f ca="1">IFERROR((TabTRADER[[#This Row],[M]]-TabTRADER[[#This Row],[A]])/TabTRADER[[#This Row],[A]],0)</f>
        <v>0.14110659581119103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56,284$</v>
      </c>
      <c r="BA67" s="744">
        <f ca="1">_xlfn.XLOOKUP(TabTRADER[[#This Row],[ClickTick]],TabCalc[[#This Row],[Ticker]],TabCalc[[#This Row],[GL]])*(1-Commission)</f>
        <v>173389.28139750002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-0.56769737863332137</v>
      </c>
      <c r="BL67" s="749">
        <f ca="1">(TabTRADER[[#This Row],[M]]-TabTRADER[[#This Row],[Agiotage]])/(TabTRADER[[#This Row],[M]]-TabTRADER[[#This Row],[A]])-1</f>
        <v>7.0488773222269732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+1,415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939$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1,598$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4.3% = 0</v>
      </c>
      <c r="I68" s="245" t="str">
        <f ca="1">IFERROR(TRUNC(TabCalc[[#This Row],[L_S1p]],2)&amp;"x"&amp;TabCalc[[#This Row],[L_S1n]]&amp;"=   "&amp;TEXT(TabCalc[[#This Row],[ReverseB1]],"#,#0"),"")</f>
        <v>606.66x66=   -5,487</v>
      </c>
      <c r="J68" s="318">
        <f ca="1">_xlfn.XLOOKUP(TabTRADER[[#This Row],[ClickTick]],TabCalc[Ticker],ListGravity)</f>
        <v>1.0988692374601334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13796</v>
      </c>
      <c r="M68" s="346">
        <f ca="1">_xlfn.XLOOKUP(TabTRADER[[#This Row],[ClickTick]],TabCalc[Ticker],TabCalc[Agiotage])</f>
        <v>0.79148683855897939</v>
      </c>
      <c r="N68" s="347" cm="1">
        <f t="array" aca="1" ref="N68" ca="1">_xlfn.XLOOKUP(TabTRADER[[#This Row],[ClickTick]],ListTickers,Tab2RSIConventional[RSIConv20])</f>
        <v>74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4.2781557067271284E-2</v>
      </c>
      <c r="S68" s="743">
        <f ca="1">_xlfn.XLOOKUP(TabTRADER[[#This Row],[ClickTick]],SORTING!AG$3:AG$95,SORTING!AH$3:AH$95)*(1-Commission)</f>
        <v>1411.4624999999978</v>
      </c>
      <c r="T68" s="866">
        <f ca="1">_xlfn.XLOOKUP(TabTRADER[[#This Row],[ClickTick]],TabCalc[Ticker],TabCalc[Agiotage])</f>
        <v>0.79148683855897939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324&lt;=324 / 0.6%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689.8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5.5389999999999997E-3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^124/124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4.0410988692374472E-2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1594.4039999999952</v>
      </c>
      <c r="AJ68" s="1144">
        <f ca="1">_xlfn.XLOOKUP(TabTRADER[[#This Row],[ClickTick]],TabCalc[Ticker],TabCalc[Ann%RevLB])</f>
        <v>9.059623849539801E-2</v>
      </c>
      <c r="AK68" s="1144">
        <f ca="1">_xlfn.XLOOKUP(TabTRADER[[#This Row],[ClickTick]],TabCalc[Ticker],TabCalc[Up20])</f>
        <v>0.61904761904761907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1.5775738447965783E-2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2263.51581668159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50x12.38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1.823004910184587E-2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-2.0447730421055965E-2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-4.4834898515601192E-2</v>
      </c>
      <c r="AW68" s="796">
        <f ca="1">TabTRADER[[#This Row],[L_Sn]]*(TabTRADER[[#This Row],[M]]-TabTRADER[[#This Row],[L_Sp]])*(1-Commission)*TabTRADER[[#This Row],[Scale]]</f>
        <v>1594.4039999999952</v>
      </c>
      <c r="AX68" s="754">
        <f ca="1">TabTRADER[[#This Row],[L_Sn]]*(TabTRADER[[#This Row],[Agiotage]]-TabTRADER[[#This Row],[M]])/(TabTRADER[[#This Row],[L_Bn]]*TabTRADER[[#This Row],[M]])</f>
        <v>-1.0787607918445292</v>
      </c>
      <c r="AY68" s="690">
        <f ca="1">IFERROR((TabTRADER[[#This Row],[M]]-TabTRADER[[#This Row],[A]])/TabTRADER[[#This Row],[A]],0)</f>
        <v>1.8275738447965782E-2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2,223$</v>
      </c>
      <c r="BA68" s="744">
        <f ca="1">_xlfn.XLOOKUP(TabTRADER[[#This Row],[ClickTick]],TabCalc[[#This Row],[Ticker]],TabCalc[[#This Row],[GL]])*(1-Commission)</f>
        <v>124066.314855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4.2910988692374474E-2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-16.587241983516172</v>
      </c>
      <c r="BL68" s="749">
        <f ca="1">(TabTRADER[[#This Row],[M]]-TabTRADER[[#This Row],[Agiotage]])/(TabTRADER[[#This Row],[M]]-TabTRADER[[#This Row],[A]])-1</f>
        <v>54.653420327140324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+6,216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13.3%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-11,658$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-11,280$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101.4% = 2,216</v>
      </c>
      <c r="I69" s="245" t="str">
        <f ca="1">IFERROR(TRUNC(TabCalc[[#This Row],[L_S1p]],2)&amp;"x"&amp;TabCalc[[#This Row],[L_S1n]]&amp;"=   "&amp;TEXT(TabCalc[[#This Row],[ReverseB1]],"#,#0"),"")</f>
        <v>4.6x20000=   47,500</v>
      </c>
      <c r="J69" s="318">
        <f ca="1">_xlfn.XLOOKUP(TabTRADER[[#This Row],[ClickTick]],TabCalc[Ticker],ListGravity)</f>
        <v>1.4606741573033708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267333.75</v>
      </c>
      <c r="M69" s="346">
        <f ca="1">_xlfn.XLOOKUP(TabTRADER[[#This Row],[ClickTick]],TabCalc[Ticker],TabCalc[Agiotage])</f>
        <v>0.41372923122963995</v>
      </c>
      <c r="N69" s="347" cm="1">
        <f t="array" aca="1" ref="N69" ca="1">_xlfn.XLOOKUP(TabTRADER[[#This Row],[ClickTick]],ListTickers,Tab2RSIConventional[RSIConv20])</f>
        <v>51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0.15344738206324524</v>
      </c>
      <c r="S69" s="743">
        <f ca="1">_xlfn.XLOOKUP(TabTRADER[[#This Row],[ClickTick]],SORTING!AG$3:AG$95,SORTING!AH$3:AH$95)*(1-Commission)</f>
        <v>6200.4600000000009</v>
      </c>
      <c r="T69" s="866">
        <f ca="1">_xlfn.XLOOKUP(TabTRADER[[#This Row],[ClickTick]],TabCalc[Ticker],TabCalc[Agiotage])</f>
        <v>0.41372923122963995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-5,445&lt;=-5,445 / -1.1%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2.2250000000000001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-1.1110999999999999E-2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Pile-148/269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6200.4600000000009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0.15344738206324524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0.45279555362924828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-89646.829453880753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0.49858591326956997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0.50345904931934837</v>
      </c>
      <c r="AW69" s="796">
        <f ca="1">TabTRADER[[#This Row],[L_Sn]]*(TabTRADER[[#This Row],[M]]-TabTRADER[[#This Row],[L_Sp]])*(1-Commission)*TabTRADER[[#This Row],[Scale]]</f>
        <v>-11251.8</v>
      </c>
      <c r="AX69" s="754">
        <f ca="1">TabTRADER[[#This Row],[L_Sn]]*(TabTRADER[[#This Row],[Agiotage]]-TabTRADER[[#This Row],[M]])/(TabTRADER[[#This Row],[L_Bn]]*TabTRADER[[#This Row],[M]])</f>
        <v>-0.19382244716643768</v>
      </c>
      <c r="AY69" s="690">
        <f ca="1">IFERROR((TabTRADER[[#This Row],[M]]-TabTRADER[[#This Row],[A]])/TabTRADER[[#This Row],[A]],0)</f>
        <v>-0.33381561231104784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-134,568$</v>
      </c>
      <c r="BA69" s="744">
        <f ca="1">_xlfn.XLOOKUP(TabTRADER[[#This Row],[ClickTick]],TabCalc[[#This Row],[Ticker]],TabCalc[[#This Row],[GL]])*(1-Commission)</f>
        <v>-147243.88769999999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-3.7722333366126511E-4</v>
      </c>
      <c r="BL69" s="749">
        <f ca="1">(TabTRADER[[#This Row],[M]]-TabTRADER[[#This Row],[Agiotage]])/(TabTRADER[[#This Row],[M]]-TabTRADER[[#This Row],[A]])-1</f>
        <v>-2.6245802496968222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+4,931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714</v>
      </c>
      <c r="F70" s="245" t="str">
        <f ca="1">TRUNC(TabCalc[[#This Row],[L_B1p]],2)&amp;"x"&amp;TabCalc[[#This Row],[L_B1n]]&amp;"=   "&amp;TEXT(TabCalc[[#This Row],[ReverseS1]],"#,#0")&amp;"$"</f>
        <v>-92.95x500=   11,510$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-2,310$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714</v>
      </c>
      <c r="I70" s="245" t="str">
        <f ca="1">IFERROR(TRUNC(TabCalc[[#This Row],[L_S1p]],2)&amp;"x"&amp;TabCalc[[#This Row],[L_S1n]]&amp;"=   "&amp;TEXT(TabCalc[[#This Row],[ReverseB1]],"#,#0"),"")</f>
        <v>119.32x800=   2,680</v>
      </c>
      <c r="J70" s="318">
        <f ca="1">_xlfn.XLOOKUP(TabTRADER[[#This Row],[ClickTick]],TabCalc[Ticker],ListGravity)</f>
        <v>1.1401736656031733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1.0857649478121689</v>
      </c>
      <c r="N70" s="347" cm="1">
        <f t="array" aca="1" ref="N70" ca="1">_xlfn.XLOOKUP(TabTRADER[[#This Row],[ClickTick]],ListTickers,Tab2RSIConventional[RSIConv20])</f>
        <v>31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6.7765399134517998E-2</v>
      </c>
      <c r="S70" s="743">
        <f ca="1">_xlfn.XLOOKUP(TabTRADER[[#This Row],[ClickTick]],SORTING!AG$3:AG$95,SORTING!AH$3:AH$95)*(1-Commission)</f>
        <v>4918.8720000000003</v>
      </c>
      <c r="T70" s="866">
        <f ca="1">_xlfn.XLOOKUP(TabTRADER[[#This Row],[ClickTick]],TabCalc[Ticker],TabCalc[Agiotage])</f>
        <v>1.0857649478121689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-194&lt;=-194 / -0.9%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115.97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-9.4809999999999998E-3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2304.2249999999999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5.6924453118646828E-2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9.9573647707863186E-2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-4918.8720000000003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6.7595985636681705E-2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-6.5964689143744065E-2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5.6924453118646828E-2</v>
      </c>
      <c r="AW70" s="796">
        <f ca="1">TabTRADER[[#This Row],[L_Sn]]*(TabTRADER[[#This Row],[M]]-TabTRADER[[#This Row],[L_Sp]])*(1-Commission)*TabTRADER[[#This Row],[Scale]]</f>
        <v>-2304.2249999999999</v>
      </c>
      <c r="AX70" s="754">
        <f ca="1">TabTRADER[[#This Row],[L_Sn]]*(TabTRADER[[#This Row],[Agiotage]]-TabTRADER[[#This Row],[M]])/(TabTRADER[[#This Row],[L_Bn]]*TabTRADER[[#This Row],[M]])</f>
        <v>-0.46701483840921892</v>
      </c>
      <c r="AY70" s="690">
        <f ca="1">IFERROR((TabTRADER[[#This Row],[M]]-TabTRADER[[#This Row],[A]])/TabTRADER[[#This Row],[A]],0)</f>
        <v>6.7765399134517998E-2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4,919$</v>
      </c>
      <c r="BA70" s="744">
        <f ca="1">_xlfn.XLOOKUP(TabTRADER[[#This Row],[ClickTick]],TabCalc[[#This Row],[Ticker]],TabCalc[[#This Row],[GL]])*(1-Commission)</f>
        <v>40707.396449999978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-0.51960305315326927</v>
      </c>
      <c r="BL70" s="749">
        <f ca="1">(TabTRADER[[#This Row],[M]]-TabTRADER[[#This Row],[Agiotage]])/(TabTRADER[[#This Row],[M]]-TabTRADER[[#This Row],[A]])-1</f>
        <v>14.609271066873347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23.7%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19,743$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71" s="245" t="str">
        <f ca="1">IFERROR(TRUNC(TabCalc[[#This Row],[L_S1p]],2)&amp;"x"&amp;TabCalc[[#This Row],[L_S1n]]&amp;"=   "&amp;TEXT(TabCalc[[#This Row],[ReverseB1]],"#,#0"),"")</f>
        <v>48.66x4000=   -39,379</v>
      </c>
      <c r="J71" s="318">
        <f ca="1">_xlfn.XLOOKUP(TabTRADER[[#This Row],[ClickTick]],TabCalc[Ticker],ListGravity)</f>
        <v>0.97769421416972913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1.8756512069792939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0.31118332586284192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1.8756512069792939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58.505000000000003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-3.4920000000000003E-3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0.2739021939135039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-0.1%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0x23.72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0.68043954859114442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-0.17123087770276046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-0.20297984512701148</v>
      </c>
      <c r="AW71" s="796">
        <f ca="1">TabTRADER[[#This Row],[L_Sn]]*(TabTRADER[[#This Row],[M]]-TabTRADER[[#This Row],[L_Sp]])*(1-Commission)*TabTRADER[[#This Row],[Scale]]</f>
        <v>19693.842000000001</v>
      </c>
      <c r="AX71" s="754">
        <f ca="1">TabTRADER[[#This Row],[L_Sn]]*(TabTRADER[[#This Row],[Agiotage]]-TabTRADER[[#This Row],[M]])/(TabTRADER[[#This Row],[L_Bn]]*TabTRADER[[#This Row],[M]])</f>
        <v>-0.96794032634852945</v>
      </c>
      <c r="AY71" s="690">
        <f ca="1">IFERROR((TabTRADER[[#This Row],[M]]-TabTRADER[[#This Row],[A]])/TabTRADER[[#This Row],[A]],0)</f>
        <v>0.68214491086831519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1.3869061661968685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48.1%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80,080$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-42,425</v>
      </c>
      <c r="J72" s="318">
        <f ca="1">_xlfn.XLOOKUP(TabTRADER[[#This Row],[ClickTick]],TabCalc[Ticker],ListGravity)</f>
        <v>1.1409369109947645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0.78391580326449306</v>
      </c>
      <c r="N72" s="347" cm="1">
        <f t="array" aca="1" ref="N72" ca="1">_xlfn.XLOOKUP(TabTRADER[[#This Row],[ClickTick]],ListTickers,Tab2RSIConventional[RSIConv20])</f>
        <v>48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0.92773516350423901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0.78391580326449306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-7.8469999999999994E-4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0.9940019608973989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0x2.194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1.3459501845018453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-0.2121335078534031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-0.26523582405935342</v>
      </c>
      <c r="AW72" s="796">
        <f ca="1">TabTRADER[[#This Row],[L_Sn]]*(TabTRADER[[#This Row],[M]]-TabTRADER[[#This Row],[L_Sp]])*(1-Commission)*TabTRADER[[#This Row],[Scale]]</f>
        <v>79879.799999999988</v>
      </c>
      <c r="AX72" s="754">
        <f ca="1">TabTRADER[[#This Row],[L_Sn]]*(TabTRADER[[#This Row],[Agiotage]]-TabTRADER[[#This Row],[M]])/(TabTRADER[[#This Row],[L_Bn]]*TabTRADER[[#This Row],[M]])</f>
        <v>-3.9917914575574396</v>
      </c>
      <c r="AY72" s="690">
        <f ca="1">IFERROR((TabTRADER[[#This Row],[M]]-TabTRADER[[#This Row],[A]])/TabTRADER[[#This Row],[A]],0)</f>
        <v>1.3493234932349325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0.7375391257827506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-45,908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-65.1%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-49,032$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-20,118$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427.9% = 50</v>
      </c>
      <c r="I73" s="245" t="str">
        <f ca="1">IFERROR(TRUNC(TabCalc[[#This Row],[L_S1p]],2)&amp;"x"&amp;TabCalc[[#This Row],[L_S1n]]&amp;"=   "&amp;TEXT(TabCalc[[#This Row],[ReverseB1]],"#,#0"),"")</f>
        <v>126.78x299=   30,878</v>
      </c>
      <c r="J73" s="318">
        <f ca="1">_xlfn.XLOOKUP(TabTRADER[[#This Row],[ClickTick]],TabCalc[Ticker],ListGravity)</f>
        <v>1.8821777966822628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105795</v>
      </c>
      <c r="M73" s="346">
        <f ca="1">_xlfn.XLOOKUP(TabTRADER[[#This Row],[ClickTick]],TabCalc[Ticker],TabCalc[Agiotage])</f>
        <v>3.179281276546623</v>
      </c>
      <c r="N73" s="347" cm="1">
        <f t="array" aca="1" ref="N73" ca="1">_xlfn.XLOOKUP(TabTRADER[[#This Row],[ClickTick]],ListTickers,Tab2RSIConventional[RSIConv20])</f>
        <v>20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-0.39426887144896244</v>
      </c>
      <c r="S73" s="743">
        <f ca="1">_xlfn.XLOOKUP(TabTRADER[[#This Row],[ClickTick]],SORTING!AG$3:AG$95,SORTING!AH$3:AH$95)*(1-Commission)</f>
        <v>-45793.030500000008</v>
      </c>
      <c r="T73" s="866">
        <f ca="1">_xlfn.XLOOKUP(TabTRADER[[#This Row],[ClickTick]],TabCalc[Ticker],TabCalc[Agiotage])</f>
        <v>3.179281276546623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-8,575&lt;=-8,575 / -7.4%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23.51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-7.4045E-2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Pile-181/118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0.64839749042960448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-0.60917078850483475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0.65089749042960443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45793.030500000008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1.6233662313908976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190642.77406125006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-15.3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-0.6176253559395396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1.6233662313908976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0.81055600322320709</v>
      </c>
      <c r="AW73" s="796">
        <f ca="1">TabTRADER[[#This Row],[L_Sn]]*(TabTRADER[[#This Row],[M]]-TabTRADER[[#This Row],[L_Sp]])*(1-Commission)*TabTRADER[[#This Row],[Scale]]</f>
        <v>-20067.704999999998</v>
      </c>
      <c r="AX73" s="754">
        <f ca="1">TabTRADER[[#This Row],[L_Sn]]*(TabTRADER[[#This Row],[Agiotage]]-TabTRADER[[#This Row],[M]])/(TabTRADER[[#This Row],[L_Bn]]*TabTRADER[[#This Row],[M]])</f>
        <v>-5.7651265343693123E-2</v>
      </c>
      <c r="AY73" s="690">
        <f ca="1">IFERROR((TabTRADER[[#This Row],[M]]-TabTRADER[[#This Row],[A]])/TabTRADER[[#This Row],[A]],0)</f>
        <v>-0.61917328916244563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-190,643$</v>
      </c>
      <c r="BA73" s="744">
        <f ca="1">_xlfn.XLOOKUP(TabTRADER[[#This Row],[ClickTick]],TabCalc[[#This Row],[Ticker]],TabCalc[[#This Row],[GL]])*(1-Commission)</f>
        <v>-180414.82850999999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0.65089749042960443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-0.10571973736195758</v>
      </c>
      <c r="BL73" s="749">
        <f ca="1">(TabTRADER[[#This Row],[M]]-TabTRADER[[#This Row],[Agiotage]])/(TabTRADER[[#This Row],[M]]-TabTRADER[[#This Row],[A]])-1</f>
        <v>-1.5318819983213523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+13,120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24.5%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-12,000$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-26,810$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133.4% = 2,798</v>
      </c>
      <c r="I74" s="245" t="str">
        <f ca="1">IFERROR(TRUNC(TabCalc[[#This Row],[L_S1p]],2)&amp;"x"&amp;TabCalc[[#This Row],[L_S1n]]&amp;"=   "&amp;TEXT(TabCalc[[#This Row],[ReverseB1]],"#,#0"),"")</f>
        <v>3.32x20000=   39,600</v>
      </c>
      <c r="J74" s="318">
        <f ca="1">_xlfn.XLOOKUP(TabTRADER[[#This Row],[ClickTick]],TabCalc[Ticker],ListGravity)</f>
        <v>1.7910447761194028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174200</v>
      </c>
      <c r="M74" s="346">
        <f ca="1">_xlfn.XLOOKUP(TabTRADER[[#This Row],[ClickTick]],TabCalc[Ticker],TabCalc[Agiotage])</f>
        <v>1.6077873897209047</v>
      </c>
      <c r="N74" s="347" cm="1">
        <f t="array" aca="1" ref="N74" ca="1">_xlfn.XLOOKUP(TabTRADER[[#This Row],[ClickTick]],ListTickers,Tab2RSIConventional[RSIConv20])</f>
        <v>69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0.32411067193675897</v>
      </c>
      <c r="S74" s="743">
        <f ca="1">_xlfn.XLOOKUP(TabTRADER[[#This Row],[ClickTick]],SORTING!AG$3:AG$95,SORTING!AH$3:AH$95)*(1-Commission)</f>
        <v>13087.200000000004</v>
      </c>
      <c r="T74" s="866">
        <f ca="1">_xlfn.XLOOKUP(TabTRADER[[#This Row],[ClickTick]],TabCalc[Ticker],TabCalc[Agiotage])</f>
        <v>1.6077873897209047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12,800&lt;=12,800 / 7.2%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1.34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7.2000000000000008E-2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Pile-295/214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13087.200000000004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0.32411067193675897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1.4958954089388874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-96600.004146090869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2.6%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0.8212822994402984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0.57151536469158692</v>
      </c>
      <c r="AW74" s="796">
        <f ca="1">TabTRADER[[#This Row],[L_Sn]]*(TabTRADER[[#This Row],[M]]-TabTRADER[[#This Row],[L_Sp]])*(1-Commission)*TabTRADER[[#This Row],[Scale]]</f>
        <v>-26742.47625</v>
      </c>
      <c r="AX74" s="754">
        <f ca="1">TabTRADER[[#This Row],[L_Sn]]*(TabTRADER[[#This Row],[Agiotage]]-TabTRADER[[#This Row],[M]])/(TabTRADER[[#This Row],[L_Bn]]*TabTRADER[[#This Row],[M]])</f>
        <v>7.4940500854730779E-2</v>
      </c>
      <c r="AY74" s="690">
        <f ca="1">IFERROR((TabTRADER[[#This Row],[M]]-TabTRADER[[#This Row],[A]])/TabTRADER[[#This Row],[A]],0)</f>
        <v>-0.45168894318861924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-176,177$</v>
      </c>
      <c r="BA74" s="744">
        <f ca="1">_xlfn.XLOOKUP(TabTRADER[[#This Row],[ClickTick]],TabCalc[[#This Row],[Ticker]],TabCalc[[#This Row],[GL]])*(1-Commission)</f>
        <v>-294133.71277500002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1.9526163833815965E-5</v>
      </c>
      <c r="BL74" s="749">
        <f ca="1">(TabTRADER[[#This Row],[M]]-TabTRADER[[#This Row],[Agiotage]])/(TabTRADER[[#This Row],[M]]-TabTRADER[[#This Row],[A]])-1</f>
        <v>-0.75741001506296812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+1,808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15,244</v>
      </c>
      <c r="F75" s="245" t="str">
        <f ca="1">TRUNC(TabCalc[[#This Row],[L_B1p]],2)&amp;"x"&amp;TabCalc[[#This Row],[L_B1n]]&amp;"=   "&amp;TEXT(TabCalc[[#This Row],[ReverseS1]],"#,#0")&amp;"$"</f>
        <v>-13.37x2000=   3,024$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-656$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15,244</v>
      </c>
      <c r="I75" s="245" t="str">
        <f ca="1">IFERROR(TRUNC(TabCalc[[#This Row],[L_S1p]],2)&amp;"x"&amp;TabCalc[[#This Row],[L_S1n]]&amp;"=   "&amp;TEXT(TabCalc[[#This Row],[ReverseB1]],"#,#0"),"")</f>
        <v>14.82x4000=   -248</v>
      </c>
      <c r="J75" s="318">
        <f ca="1">_xlfn.XLOOKUP(TabTRADER[[#This Row],[ClickTick]],TabCalc[Ticker],ListGravity)</f>
        <v>1.0233839537696547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0.73234913528008072</v>
      </c>
      <c r="N75" s="347" cm="1">
        <f t="array" aca="1" ref="N75" ca="1">_xlfn.XLOOKUP(TabTRADER[[#This Row],[ClickTick]],ListTickers,Tab2RSIConventional[RSIConv20])</f>
        <v>43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6.4673057662040345E-2</v>
      </c>
      <c r="S75" s="743">
        <f ca="1">_xlfn.XLOOKUP(TabTRADER[[#This Row],[ClickTick]],SORTING!AG$3:AG$95,SORTING!AH$3:AH$95)*(1-Commission)</f>
        <v>1803.4799999999998</v>
      </c>
      <c r="T75" s="866">
        <f ca="1">_xlfn.XLOOKUP(TabTRADER[[#This Row],[ClickTick]],TabCalc[Ticker],TabCalc[Agiotage])</f>
        <v>0.73234913528008072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104&lt;=104 / -0.3%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14.882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-2.6810000000000002E-3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654.3600000000024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2.1564760026298563E-2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0.11469113674056415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-1803.48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6.4511375017885245E-2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-6.3244523585539572E-2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2.1564760026298563E-2</v>
      </c>
      <c r="AW75" s="796">
        <f ca="1">TabTRADER[[#This Row],[L_Sn]]*(TabTRADER[[#This Row],[M]]-TabTRADER[[#This Row],[L_Sp]])*(1-Commission)*TabTRADER[[#This Row],[Scale]]</f>
        <v>-654.3600000000024</v>
      </c>
      <c r="AX75" s="754">
        <f ca="1">TabTRADER[[#This Row],[L_Sn]]*(TabTRADER[[#This Row],[Agiotage]]-TabTRADER[[#This Row],[M]])/(TabTRADER[[#This Row],[L_Bn]]*TabTRADER[[#This Row],[M]])</f>
        <v>-0.47539480126058054</v>
      </c>
      <c r="AY75" s="690">
        <f ca="1">IFERROR((TabTRADER[[#This Row],[M]]-TabTRADER[[#This Row],[A]])/TabTRADER[[#This Row],[A]],0)</f>
        <v>6.4673057662040345E-2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1,803$</v>
      </c>
      <c r="BA75" s="744">
        <f ca="1">_xlfn.XLOOKUP(TabTRADER[[#This Row],[ClickTick]],TabCalc[[#This Row],[Ticker]],TabCalc[[#This Row],[GL]])*(1-Commission)</f>
        <v>11532.133410000022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-1.4149650864719919E-2</v>
      </c>
      <c r="BL75" s="749">
        <f ca="1">(TabTRADER[[#This Row],[M]]-TabTRADER[[#This Row],[Agiotage]])/(TabTRADER[[#This Row],[M]]-TabTRADER[[#This Row],[A]])-1</f>
        <v>14.652268655663628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-1,160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-5,490$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-13,482$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16.0% = 67</v>
      </c>
      <c r="I76" s="245" t="str">
        <f ca="1">IFERROR(TRUNC(TabCalc[[#This Row],[L_S1p]],2)&amp;"x"&amp;TabCalc[[#This Row],[L_S1n]]&amp;"=   "&amp;TEXT(TabCalc[[#This Row],[ReverseB1]],"#,#0"),"")</f>
        <v>529.4x9000=   5,409</v>
      </c>
      <c r="J76" s="318">
        <f ca="1">_xlfn.XLOOKUP(TabTRADER[[#This Row],[ClickTick]],TabCalc[Ticker],ListGravity)</f>
        <v>1.4035371830385679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2628.08</v>
      </c>
      <c r="M76" s="346">
        <f ca="1">_xlfn.XLOOKUP(TabTRADER[[#This Row],[ClickTick]],TabCalc[Ticker],TabCalc[Agiotage])</f>
        <v>0.65377659574468083</v>
      </c>
      <c r="N76" s="347" cm="1">
        <f t="array" aca="1" ref="N76" ca="1">_xlfn.XLOOKUP(TabTRADER[[#This Row],[ClickTick]],ListTickers,Tab2RSIConventional[RSIConv20])</f>
        <v>39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-2.4121438968600469E-2</v>
      </c>
      <c r="S76" s="743">
        <f ca="1">_xlfn.XLOOKUP(TabTRADER[[#This Row],[ClickTick]],SORTING!AG$3:AG$95,SORTING!AH$3:AH$95)*(1-Commission)</f>
        <v>-1157.0999999999967</v>
      </c>
      <c r="T76" s="866">
        <f ca="1">_xlfn.XLOOKUP(TabTRADER[[#This Row],[ClickTick]],TabCalc[Ticker],TabCalc[Agiotage])</f>
        <v>0.65377659574468083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0.8%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469.3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7.9469999999999992E-3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2.2217664606861212E-2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-0.8683718028696169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2.4717664606861211E-2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1157.0999999999967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6.8350202429149798E-2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6633.375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-0.11599999999999999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-6.5997164461247634E-2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6.8350202429149798E-2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0.13763322307975015</v>
      </c>
      <c r="AW76" s="796">
        <f ca="1">TabTRADER[[#This Row],[L_Sn]]*(TabTRADER[[#This Row],[M]]-TabTRADER[[#This Row],[L_Sp]])*(1-Commission)*TabTRADER[[#This Row],[Scale]]</f>
        <v>-13448.295000000007</v>
      </c>
      <c r="AX76" s="754">
        <f ca="1">TabTRADER[[#This Row],[L_Sn]]*(TabTRADER[[#This Row],[Agiotage]]-TabTRADER[[#This Row],[M]])/(TabTRADER[[#This Row],[L_Bn]]*TabTRADER[[#This Row],[M]])</f>
        <v>-1.7974924400759849</v>
      </c>
      <c r="AY76" s="690">
        <f ca="1">IFERROR((TabTRADER[[#This Row],[M]]-TabTRADER[[#This Row],[A]])/TabTRADER[[#This Row],[A]],0)</f>
        <v>-6.6162570888468802E-2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-6,633$</v>
      </c>
      <c r="BA76" s="744">
        <f ca="1">_xlfn.XLOOKUP(TabTRADER[[#This Row],[ClickTick]],TabCalc[[#This Row],[Ticker]],TabCalc[[#This Row],[GL]])*(1-Commission)</f>
        <v>26485.024492500008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2.4717664606861211E-2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-4.9468212470449177E-2</v>
      </c>
      <c r="BL76" s="749">
        <f ca="1">(TabTRADER[[#This Row],[M]]-TabTRADER[[#This Row],[Agiotage]])/(TabTRADER[[#This Row],[M]]-TabTRADER[[#This Row],[A]])-1</f>
        <v>-15.094623260278356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+7,335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2,045/3,000=23,885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6,210$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540$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77" s="245" t="str">
        <f ca="1">IFERROR(TRUNC(TabCalc[[#This Row],[L_S1p]],2)&amp;"x"&amp;TabCalc[[#This Row],[L_S1n]]&amp;"=   "&amp;TEXT(TabCalc[[#This Row],[ReverseB1]],"#,#0"),"")</f>
        <v>10.5x5000=   -5,900</v>
      </c>
      <c r="J77" s="318">
        <f ca="1">_xlfn.XLOOKUP(TabTRADER[[#This Row],[ClickTick]],TabCalc[Ticker],ListGravity)</f>
        <v>0.92380136986301364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0.97213522762766735</v>
      </c>
      <c r="N77" s="347" cm="1">
        <f t="array" aca="1" ref="N77" ca="1">_xlfn.XLOOKUP(TabTRADER[[#This Row],[ClickTick]],ListTickers,Tab2RSIConventional[RSIConv20])</f>
        <v>39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0.26475365457498651</v>
      </c>
      <c r="S77" s="743">
        <f ca="1">_xlfn.XLOOKUP(TabTRADER[[#This Row],[ClickTick]],SORTING!AG$3:AG$95,SORTING!AH$3:AH$95)*(1-Commission)</f>
        <v>7316.6625000000013</v>
      </c>
      <c r="T77" s="866">
        <f ca="1">_xlfn.XLOOKUP(TabTRADER[[#This Row],[ClickTick]],TabCalc[Ticker],TabCalc[Agiotage])</f>
        <v>0.97213522762766735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-222&lt;=-222 / -0.7%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11.68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-6.803E-3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2.0616438356164349E-2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538.64999999999907</v>
      </c>
      <c r="AJ77" s="1144">
        <f ca="1">_xlfn.XLOOKUP(TabTRADER[[#This Row],[ClickTick]],TabCalc[Ticker],TabCalc[Ann%RevLB])</f>
        <v>0.46267628954852014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0.26225365457498651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9253.775636166758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3,000x2.44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0.26409177043854903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-0.21183219178082194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-2.3663453111305834E-2</v>
      </c>
      <c r="AW77" s="796">
        <f ca="1">TabTRADER[[#This Row],[L_Sn]]*(TabTRADER[[#This Row],[M]]-TabTRADER[[#This Row],[L_Sp]])*(1-Commission)*TabTRADER[[#This Row],[Scale]]</f>
        <v>538.64999999999907</v>
      </c>
      <c r="AX77" s="754">
        <f ca="1">TabTRADER[[#This Row],[L_Sn]]*(TabTRADER[[#This Row],[Agiotage]]-TabTRADER[[#This Row],[M]])/(TabTRADER[[#This Row],[L_Bn]]*TabTRADER[[#This Row],[M]])</f>
        <v>-0.18335384884199199</v>
      </c>
      <c r="AY77" s="690">
        <f ca="1">IFERROR((TabTRADER[[#This Row],[M]]-TabTRADER[[#This Row],[A]])/TabTRADER[[#This Row],[A]],0)</f>
        <v>0.26475365457498651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7,317$</v>
      </c>
      <c r="BA77" s="744">
        <f ca="1">_xlfn.XLOOKUP(TabTRADER[[#This Row],[ClickTick]],TabCalc[[#This Row],[Ticker]],TabCalc[[#This Row],[GL]])*(1-Commission)</f>
        <v>-13605.900000000001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2.3116438356164348E-2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-8.9232206436436097E-3</v>
      </c>
      <c r="BL77" s="749">
        <f ca="1">(TabTRADER[[#This Row],[M]]-TabTRADER[[#This Row],[Agiotage]])/(TabTRADER[[#This Row],[M]]-TabTRADER[[#This Row],[A]])-1</f>
        <v>3.3794947944263116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49.5%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52,320$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-45.7% = 0</v>
      </c>
      <c r="I78" s="245" t="str">
        <f ca="1">IFERROR(TRUNC(TabCalc[[#This Row],[L_S1p]],2)&amp;"x"&amp;TabCalc[[#This Row],[L_S1n]]&amp;"=   "&amp;TEXT(TabCalc[[#This Row],[ReverseB1]],"#,#0"),"")</f>
        <v>23.05x2000=   -68,402</v>
      </c>
      <c r="J78" s="318">
        <f ca="1">_xlfn.XLOOKUP(TabTRADER[[#This Row],[ClickTick]],TabCalc[Ticker],ListGravity)</f>
        <v>1.0599022004889975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0.67086524117354551</v>
      </c>
      <c r="N78" s="347" cm="1">
        <f t="array" aca="1" ref="N78" ca="1">_xlfn.XLOOKUP(TabTRADER[[#This Row],[ClickTick]],ListTickers,Tab2RSIConventional[RSIConv20])</f>
        <v>46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0.97857636489288169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0.67086524117354551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57.26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-5.9030000000000003E-3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1.4801995435354511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0x37.63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1.9121714212939378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-0.45936342996856439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-0.84115755627009636</v>
      </c>
      <c r="AW78" s="796">
        <f ca="1">TabTRADER[[#This Row],[L_Sn]]*(TabTRADER[[#This Row],[M]]-TabTRADER[[#This Row],[L_Sp]])*(1-Commission)*TabTRADER[[#This Row],[Scale]]</f>
        <v>52189.2</v>
      </c>
      <c r="AX78" s="754">
        <f ca="1">TabTRADER[[#This Row],[L_Sn]]*(TabTRADER[[#This Row],[Agiotage]]-TabTRADER[[#This Row],[M]])/(TabTRADER[[#This Row],[L_Bn]]*TabTRADER[[#This Row],[M]])</f>
        <v>-0.98828387633298032</v>
      </c>
      <c r="AY78" s="690">
        <f ca="1">IFERROR((TabTRADER[[#This Row],[M]]-TabTRADER[[#This Row],[A]])/TabTRADER[[#This Row],[A]],0)</f>
        <v>1.9169638308711154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0.50383031514287691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29.5%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903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-3,324$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903</v>
      </c>
      <c r="I79" s="245" t="str">
        <f ca="1">IFERROR(TRUNC(TabCalc[[#This Row],[L_S1p]],2)&amp;"x"&amp;TabCalc[[#This Row],[L_S1n]]&amp;"=   "&amp;TEXT(TabCalc[[#This Row],[ReverseB1]],"#,#0"),"")</f>
        <v>165.75x400=   -7,448</v>
      </c>
      <c r="J79" s="318">
        <f ca="1">_xlfn.XLOOKUP(TabTRADER[[#This Row],[ClickTick]],TabCalc[Ticker],ListGravity)</f>
        <v>1.1091826219016108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0.82360535940415402</v>
      </c>
      <c r="N79" s="347" cm="1">
        <f t="array" aca="1" ref="N79" ca="1">_xlfn.XLOOKUP(TabTRADER[[#This Row],[ClickTick]],ListTickers,Tab2RSIConventional[RSIConv20])</f>
        <v>29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0.41779452476161194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0.82360535940415402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-1.9%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184.37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-1.8577999999999997E-2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3315.6899999999955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2.9171712916644686E-2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0.82640675227571592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0.8142335730469904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-0.4519223572164669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2.9171712916644686E-2</v>
      </c>
      <c r="AW79" s="796">
        <f ca="1">TabTRADER[[#This Row],[L_Sn]]*(TabTRADER[[#This Row],[M]]-TabTRADER[[#This Row],[L_Sp]])*(1-Commission)*TabTRADER[[#This Row],[Scale]]</f>
        <v>-3315.6899999999955</v>
      </c>
      <c r="AX79" s="754">
        <f ca="1">TabTRADER[[#This Row],[L_Sn]]*(TabTRADER[[#This Row],[Agiotage]]-TabTRADER[[#This Row],[M]])/(TabTRADER[[#This Row],[L_Bn]]*TabTRADER[[#This Row],[M]])</f>
        <v>-1.4932993001079014</v>
      </c>
      <c r="AY79" s="690">
        <f ca="1">IFERROR((TabTRADER[[#This Row],[M]]-TabTRADER[[#This Row],[A]])/TabTRADER[[#This Row],[A]],0)</f>
        <v>0.81627425869372472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1.2151387236374105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28.0%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14,789$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-19.0% = 0</v>
      </c>
      <c r="I80" s="245" t="str">
        <f ca="1">IFERROR(TRUNC(TabCalc[[#This Row],[L_S1p]],2)&amp;"x"&amp;TabCalc[[#This Row],[L_S1n]]&amp;"=   "&amp;TEXT(TabCalc[[#This Row],[ReverseB1]],"#,#0"),"")</f>
        <v>495.03x100=   -28,476</v>
      </c>
      <c r="J80" s="318">
        <f ca="1">_xlfn.XLOOKUP(TabTRADER[[#This Row],[ClickTick]],TabCalc[Ticker],ListGravity)</f>
        <v>0.91124054717085168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0.65387219449739531</v>
      </c>
      <c r="N80" s="347" cm="1">
        <f t="array" aca="1" ref="N80" ca="1">_xlfn.XLOOKUP(TabTRADER[[#This Row],[ClickTick]],ListTickers,Tab2RSIConventional[RSIConv20])</f>
        <v>68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0.38851659050055959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0.65387219449739531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779.79300000000001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-6.2909999999999997E-3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0.40423691497168052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0x421.09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1.1710071577920269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-0.19215674223800422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-0.23404494382022478</v>
      </c>
      <c r="AW80" s="796">
        <f ca="1">TabTRADER[[#This Row],[L_Sn]]*(TabTRADER[[#This Row],[M]]-TabTRADER[[#This Row],[L_Sp]])*(1-Commission)*TabTRADER[[#This Row],[Scale]]</f>
        <v>14752.326750000004</v>
      </c>
      <c r="AX80" s="754">
        <f ca="1">TabTRADER[[#This Row],[L_Sn]]*(TabTRADER[[#This Row],[Agiotage]]-TabTRADER[[#This Row],[M]])/(TabTRADER[[#This Row],[L_Bn]]*TabTRADER[[#This Row],[M]])</f>
        <v>-0.99916147978438208</v>
      </c>
      <c r="AY80" s="690">
        <f ca="1">IFERROR((TabTRADER[[#This Row],[M]]-TabTRADER[[#This Row],[A]])/TabTRADER[[#This Row],[A]],0)</f>
        <v>1.1739420128240872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0.85027803313164219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-43,990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-242.6%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-21,269$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1.595744680851064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19110.2</v>
      </c>
      <c r="M81" s="346">
        <f ca="1">_xlfn.XLOOKUP(TabTRADER[[#This Row],[ClickTick]],TabCalc[Ticker],TabCalc[Agiotage])</f>
        <v>0.73131747771900657</v>
      </c>
      <c r="N81" s="347" cm="1">
        <f t="array" aca="1" ref="N81" ca="1">_xlfn.XLOOKUP(TabTRADER[[#This Row],[ClickTick]],ListTickers,Tab2RSIConventional[RSIConv20])</f>
        <v>45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-0.70807453416149069</v>
      </c>
      <c r="S81" s="743">
        <f ca="1">_xlfn.XLOOKUP(TabTRADER[[#This Row],[ClickTick]],SORTING!AG$3:AG$95,SORTING!AH$3:AH$95)*(1-Commission)</f>
        <v>-43880.344200000007</v>
      </c>
      <c r="T81" s="866">
        <f ca="1">_xlfn.XLOOKUP(TabTRADER[[#This Row],[ClickTick]],TabCalc[Ticker],TabCalc[Agiotage])</f>
        <v>0.73131747771900657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1,319&lt;=1,319 / 6.2%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1.88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6.2146999999999994E-2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Pile-307/29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2.4230319148936177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-1.0940207394769814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2.4255319148936176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43880.344200000014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10.527995814058075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306446.96250000008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4.1%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-4.5599999999999996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-0.91099027690692713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10.527995814058075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-0.91327346055832292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-306,447$</v>
      </c>
      <c r="BA81" s="744">
        <f ca="1">_xlfn.XLOOKUP(TabTRADER[[#This Row],[ClickTick]],TabCalc[[#This Row],[Ticker]],TabCalc[[#This Row],[GL]])*(1-Commission)</f>
        <v>-306446.96249999997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2.4255319148936176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-1.0580220867495287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+1,161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3.1%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2,523</v>
      </c>
      <c r="F82" s="245" t="str">
        <f ca="1">TRUNC(TabCalc[[#This Row],[L_B1p]],2)&amp;"x"&amp;TabCalc[[#This Row],[L_B1n]]&amp;"=   "&amp;TEXT(TabCalc[[#This Row],[ReverseS1]],"#,#0")&amp;"$"</f>
        <v>-33.84x1200=   -2,610$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-2,378$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6.3% = 2,523</v>
      </c>
      <c r="I82" s="245" t="str">
        <f ca="1">IFERROR(TRUNC(TabCalc[[#This Row],[L_S1p]],2)&amp;"x"&amp;TabCalc[[#This Row],[L_S1n]]&amp;"=   "&amp;TEXT(TabCalc[[#This Row],[ReverseB1]],"#,#0"),"")</f>
        <v>28.54x2000=   -6,250</v>
      </c>
      <c r="J82" s="318">
        <f ca="1">_xlfn.XLOOKUP(TabTRADER[[#This Row],[ClickTick]],TabCalc[Ticker],ListGravity)</f>
        <v>1.0124743407547767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1.4239880871987247</v>
      </c>
      <c r="N82" s="347" cm="1">
        <f t="array" aca="1" ref="N82" ca="1">_xlfn.XLOOKUP(TabTRADER[[#This Row],[ClickTick]],ListTickers,Tab2RSIConventional[RSIConv20])</f>
        <v>41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3.1520584805227833E-2</v>
      </c>
      <c r="S82" s="743">
        <f ca="1">_xlfn.XLOOKUP(TabTRADER[[#This Row],[ClickTick]],SORTING!AG$3:AG$95,SORTING!AH$3:AH$95)*(1-Commission)</f>
        <v>1158.2172000000012</v>
      </c>
      <c r="T82" s="866">
        <f ca="1">_xlfn.XLOOKUP(TabTRADER[[#This Row],[ClickTick]],TabCalc[Ticker],TabCalc[Agiotage])</f>
        <v>1.4239880871987247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-246&lt;=-246 / -0.2%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31.664999999999999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-1.7340000000000001E-3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2371.8854249999972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5.8892411623488544E-2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5.065808272268759E-2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-1158.2172000000012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3.1441783343214763E-2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-3.3057397757776753E-2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5.8892411623488544E-2</v>
      </c>
      <c r="AW82" s="796">
        <f ca="1">TabTRADER[[#This Row],[L_Sn]]*(TabTRADER[[#This Row],[M]]-TabTRADER[[#This Row],[L_Sp]])*(1-Commission)*TabTRADER[[#This Row],[Scale]]</f>
        <v>-2371.8854249999972</v>
      </c>
      <c r="AX82" s="754">
        <f ca="1">TabTRADER[[#This Row],[L_Sn]]*(TabTRADER[[#This Row],[Agiotage]]-TabTRADER[[#This Row],[M]])/(TabTRADER[[#This Row],[L_Bn]]*TabTRADER[[#This Row],[M]])</f>
        <v>-0.95502958827731788</v>
      </c>
      <c r="AY82" s="690">
        <f ca="1">IFERROR((TabTRADER[[#This Row],[M]]-TabTRADER[[#This Row],[A]])/TabTRADER[[#This Row],[A]],0)</f>
        <v>3.1520584805227833E-2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1,158$</v>
      </c>
      <c r="BA82" s="744">
        <f ca="1">_xlfn.XLOOKUP(TabTRADER[[#This Row],[ClickTick]],TabCalc[[#This Row],[Ticker]],TabCalc[[#This Row],[GL]])*(1-Commission)</f>
        <v>-19752.943875000004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-5.0401686521335455E-2</v>
      </c>
      <c r="BL82" s="749">
        <f ca="1">(TabTRADER[[#This Row],[M]]-TabTRADER[[#This Row],[Agiotage]])/(TabTRADER[[#This Row],[M]]-TabTRADER[[#This Row],[A]])-1</f>
        <v>30.253629508889258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+6,814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5.9%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147/200=85,248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51,572$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3,421$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5.9% = 0</v>
      </c>
      <c r="I83" s="245" t="str">
        <f ca="1">IFERROR(TRUNC(TabCalc[[#This Row],[L_S1p]],2)&amp;"x"&amp;TabCalc[[#This Row],[L_S1n]]&amp;"=   "&amp;TEXT(TabCalc[[#This Row],[ReverseB1]],"#,#0"),"")</f>
        <v>-446.03x300=   -308,076</v>
      </c>
      <c r="J83" s="318">
        <f ca="1">_xlfn.XLOOKUP(TabTRADER[[#This Row],[ClickTick]],TabCalc[Ticker],ListGravity)</f>
        <v>1.1096121402010743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0.93986094147726729</v>
      </c>
      <c r="N83" s="347" cm="1">
        <f t="array" aca="1" ref="N83" ca="1">_xlfn.XLOOKUP(TabTRADER[[#This Row],[ClickTick]],ListTickers,Tab2RSIConventional[RSIConv20])</f>
        <v>39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6.2306834183720218E-2</v>
      </c>
      <c r="S83" s="743">
        <f ca="1">_xlfn.XLOOKUP(TabTRADER[[#This Row],[ClickTick]],SORTING!AG$3:AG$95,SORTING!AH$3:AH$95)*(1-Commission)</f>
        <v>6796.9650000000101</v>
      </c>
      <c r="T83" s="866">
        <f ca="1">_xlfn.XLOOKUP(TabTRADER[[#This Row],[ClickTick]],TabCalc[Ticker],TabCalc[Agiotage])</f>
        <v>0.93986094147726729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-1,112&lt;=-1,112 / -1.3%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580.88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-1.3333999999999999E-2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Pile^51/116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6796.9650000000101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6.2306834183720218E-2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0.26081930588534047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7220.4623712075609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-6.115238947803342E-2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-6.2578886714105469E-2</v>
      </c>
      <c r="AW83" s="796">
        <f ca="1">TabTRADER[[#This Row],[L_Sn]]*(TabTRADER[[#This Row],[M]]-TabTRADER[[#This Row],[L_Sp]])*(1-Commission)*TabTRADER[[#This Row],[Scale]]</f>
        <v>3412.4475000000039</v>
      </c>
      <c r="AX83" s="754">
        <f ca="1">TabTRADER[[#This Row],[L_Sn]]*(TabTRADER[[#This Row],[Agiotage]]-TabTRADER[[#This Row],[M]])/(TabTRADER[[#This Row],[L_Bn]]*TabTRADER[[#This Row],[M]])</f>
        <v>-0.49919100249494108</v>
      </c>
      <c r="AY83" s="690">
        <f ca="1">IFERROR((TabTRADER[[#This Row],[M]]-TabTRADER[[#This Row],[A]])/TabTRADER[[#This Row],[A]],0)</f>
        <v>6.2306834183720218E-2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6,797$</v>
      </c>
      <c r="BA83" s="744">
        <f ca="1">_xlfn.XLOOKUP(TabTRADER[[#This Row],[ClickTick]],TabCalc[[#This Row],[Ticker]],TabCalc[[#This Row],[GL]])*(1-Commission)</f>
        <v>50719.642102500002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-8.6991020858778416</v>
      </c>
      <c r="BL83" s="749">
        <f ca="1">(TabTRADER[[#This Row],[M]]-TabTRADER[[#This Row],[Agiotage]])/(TabTRADER[[#This Row],[M]]-TabTRADER[[#This Row],[A]])-1</f>
        <v>16.022017583167653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-7,965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-22.2%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-7,960$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-26,885$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67.4% = 930</v>
      </c>
      <c r="I84" s="245" t="str">
        <f ca="1">IFERROR(TRUNC(TabCalc[[#This Row],[L_S1p]],2)&amp;"x"&amp;TabCalc[[#This Row],[L_S1n]]&amp;"=   "&amp;TEXT(TabCalc[[#This Row],[ReverseB1]],"#,#0"),"")</f>
        <v>14.95x2700=   18,819</v>
      </c>
      <c r="J84" s="318">
        <f ca="1">_xlfn.XLOOKUP(TabTRADER[[#This Row],[ClickTick]],TabCalc[Ticker],ListGravity)</f>
        <v>1.5664160401002505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66234</v>
      </c>
      <c r="M84" s="346">
        <f ca="1">_xlfn.XLOOKUP(TabTRADER[[#This Row],[ClickTick]],TabCalc[Ticker],TabCalc[Agiotage])</f>
        <v>0.93153205533487649</v>
      </c>
      <c r="N84" s="347" cm="1">
        <f t="array" aca="1" ref="N84" ca="1">_xlfn.XLOOKUP(TabTRADER[[#This Row],[ClickTick]],ListTickers,Tab2RSIConventional[RSIConv20])</f>
        <v>47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-0.18153846153846148</v>
      </c>
      <c r="S84" s="743">
        <f ca="1">_xlfn.XLOOKUP(TabTRADER[[#This Row],[ClickTick]],SORTING!AG$3:AG$95,SORTING!AH$3:AH$95)*(1-Commission)</f>
        <v>-7945.0874999999987</v>
      </c>
      <c r="T84" s="866">
        <f ca="1">_xlfn.XLOOKUP(TabTRADER[[#This Row],[ClickTick]],TabCalc[Ticker],TabCalc[Agiotage])</f>
        <v>0.93153205533487649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-2,530&lt;=-2,530 / -3.6%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7.98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-3.6232E-2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-90/88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0.21930451127819542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-0.29978828510938593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0.22180451127819542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7945.0874999999978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0.11876224652540424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10617.788999999984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-0.10787760961712732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0.11876224652540424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0.40256045519203409</v>
      </c>
      <c r="AW84" s="796">
        <f ca="1">TabTRADER[[#This Row],[L_Sn]]*(TabTRADER[[#This Row],[M]]-TabTRADER[[#This Row],[L_Sp]])*(1-Commission)*TabTRADER[[#This Row],[Scale]]</f>
        <v>-26817.787499999995</v>
      </c>
      <c r="AX84" s="754">
        <f ca="1">TabTRADER[[#This Row],[L_Sn]]*(TabTRADER[[#This Row],[Agiotage]]-TabTRADER[[#This Row],[M]])/(TabTRADER[[#This Row],[L_Bn]]*TabTRADER[[#This Row],[M]])</f>
        <v>-0.98140739970274626</v>
      </c>
      <c r="AY84" s="690">
        <f ca="1">IFERROR((TabTRADER[[#This Row],[M]]-TabTRADER[[#This Row],[A]])/TabTRADER[[#This Row],[A]],0)</f>
        <v>-0.10814797956604243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-10,618$</v>
      </c>
      <c r="BA84" s="744">
        <f ca="1">_xlfn.XLOOKUP(TabTRADER[[#This Row],[ClickTick]],TabCalc[[#This Row],[Ticker]],TabCalc[[#This Row],[GL]])*(1-Commission)</f>
        <v>-90078.140249999997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0.22180451127819542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-2.0504634020843994E-3</v>
      </c>
      <c r="BL84" s="749">
        <f ca="1">(TabTRADER[[#This Row],[M]]-TabTRADER[[#This Row],[Agiotage]])/(TabTRADER[[#This Row],[M]]-TabTRADER[[#This Row],[A]])-1</f>
        <v>-8.2839377880685117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8,446$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-17.0% = 0</v>
      </c>
      <c r="I85" s="245" t="str">
        <f ca="1">IFERROR(TRUNC(TabCalc[[#This Row],[L_S1p]],2)&amp;"x"&amp;TabCalc[[#This Row],[L_S1n]]&amp;"=   "&amp;TEXT(TabCalc[[#This Row],[ReverseB1]],"#,#0"),"")</f>
        <v>99.4x1000=   -24,725</v>
      </c>
      <c r="J85" s="318">
        <f ca="1">_xlfn.XLOOKUP(TabTRADER[[#This Row],[ClickTick]],TabCalc[Ticker],ListGravity)</f>
        <v>0.95504531722054387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1.6076160084589681</v>
      </c>
      <c r="N85" s="347" cm="1">
        <f t="array" aca="1" ref="N85" ca="1">_xlfn.XLOOKUP(TabTRADER[[#This Row],[ClickTick]],ListTickers,Tab2RSIConventional[RSIConv20])</f>
        <v>37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0.2661165286221388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1.6076160084589681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-2.8%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124.125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-2.7995000000000003E-2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0.38474678836935733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-0.7%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0x38.27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0.44472117064647654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-0.17260674723061437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-0.20497425019779544</v>
      </c>
      <c r="AW85" s="796">
        <f ca="1">TabTRADER[[#This Row],[L_Sn]]*(TabTRADER[[#This Row],[M]]-TabTRADER[[#This Row],[L_Sp]])*(1-Commission)*TabTRADER[[#This Row],[Scale]]</f>
        <v>8424.6855000000032</v>
      </c>
      <c r="AX85" s="754">
        <f ca="1">TabTRADER[[#This Row],[L_Sn]]*(TabTRADER[[#This Row],[Agiotage]]-TabTRADER[[#This Row],[M]])/(TabTRADER[[#This Row],[L_Bn]]*TabTRADER[[#This Row],[M]])</f>
        <v>-0.3948193643231937</v>
      </c>
      <c r="AY85" s="690">
        <f ca="1">IFERROR((TabTRADER[[#This Row],[M]]-TabTRADER[[#This Row],[A]])/TabTRADER[[#This Row],[A]],0)</f>
        <v>0.44583576004659298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2.2009767208763167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3,740$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-13.5% = 0</v>
      </c>
      <c r="I86" s="245" t="str">
        <f ca="1">IFERROR(TRUNC(TabCalc[[#This Row],[L_S1p]],2)&amp;"x"&amp;TabCalc[[#This Row],[L_S1n]]&amp;"=   "&amp;TEXT(TabCalc[[#This Row],[ReverseB1]],"#,#0"),"")</f>
        <v>11.84x2000=   -4,110</v>
      </c>
      <c r="J86" s="318">
        <f ca="1">_xlfn.XLOOKUP(TabTRADER[[#This Row],[ClickTick]],TabCalc[Ticker],ListGravity)</f>
        <v>1.0733812949640287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0.48995123707291532</v>
      </c>
      <c r="N86" s="347" cm="1">
        <f t="array" aca="1" ref="N86" ca="1">_xlfn.XLOOKUP(TabTRADER[[#This Row],[ClickTick]],ListTickers,Tab2RSIConventional[RSIConv20])</f>
        <v>29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0.4212678936605318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0.48995123707291532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7.1989999999999999E-4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0.41549710059668887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0.6%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0x4.3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0.4473989162150897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-0.1370323741007195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-0.15544472152950964</v>
      </c>
      <c r="AW86" s="796">
        <f ca="1">TabTRADER[[#This Row],[L_Sn]]*(TabTRADER[[#This Row],[M]]-TabTRADER[[#This Row],[L_Sp]])*(1-Commission)*TabTRADER[[#This Row],[Scale]]</f>
        <v>3730.6500000000019</v>
      </c>
      <c r="AX86" s="754">
        <f ca="1">TabTRADER[[#This Row],[L_Sn]]*(TabTRADER[[#This Row],[Agiotage]]-TabTRADER[[#This Row],[M]])/(TabTRADER[[#This Row],[L_Bn]]*TabTRADER[[#This Row],[M]])</f>
        <v>-0.48237585478154982</v>
      </c>
      <c r="AY86" s="690">
        <f ca="1">IFERROR((TabTRADER[[#This Row],[M]]-TabTRADER[[#This Row],[A]])/TabTRADER[[#This Row],[A]],0)</f>
        <v>0.44852021675698212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2.1157176493789693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-1,580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-3.5%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-2,187$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-6,200$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13.6% = 806</v>
      </c>
      <c r="I87" s="245" t="str">
        <f ca="1">IFERROR(TRUNC(TabCalc[[#This Row],[L_S1p]],2)&amp;"x"&amp;TabCalc[[#This Row],[L_S1n]]&amp;"=   "&amp;TEXT(TabCalc[[#This Row],[ReverseB1]],"#,#0"),"")</f>
        <v>62.9x2000=   34,480</v>
      </c>
      <c r="J87" s="318">
        <f ca="1">_xlfn.XLOOKUP(TabTRADER[[#This Row],[ClickTick]],TabCalc[Ticker],ListGravity)</f>
        <v>1.1093335523434078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132414</v>
      </c>
      <c r="M87" s="346">
        <f ca="1">_xlfn.XLOOKUP(TabTRADER[[#This Row],[ClickTick]],TabCalc[Ticker],TabCalc[Agiotage])</f>
        <v>0.61463911996041853</v>
      </c>
      <c r="N87" s="347" cm="1">
        <f t="array" aca="1" ref="N87" ca="1">_xlfn.XLOOKUP(TabTRADER[[#This Row],[ClickTick]],ListTickers,Tab2RSIConventional[RSIConv20])</f>
        <v>42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-3.3446232006774032E-2</v>
      </c>
      <c r="S87" s="743">
        <f ca="1">_xlfn.XLOOKUP(TabTRADER[[#This Row],[ClickTick]],SORTING!AG$3:AG$95,SORTING!AH$3:AH$95)*(1-Commission)</f>
        <v>-1576.0500000000056</v>
      </c>
      <c r="T87" s="866">
        <f ca="1">_xlfn.XLOOKUP(TabTRADER[[#This Row],[ClickTick]],TabCalc[Ticker],TabCalc[Agiotage])</f>
        <v>0.61463911996041853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-2,400&lt;=-2,400 / -0.8%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45.66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-7.8230000000000001E-3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Pile-52/183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3.2103591765221318E-2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-6.7266164929824873E-2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3.460359176522132E-2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1576.0500000000056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0.18747974156811217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34611.155250000011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-1.58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-0.15925043561201246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0.18747974156811217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0.11955264172772856</v>
      </c>
      <c r="AW87" s="796">
        <f ca="1">TabTRADER[[#This Row],[L_Sn]]*(TabTRADER[[#This Row],[M]]-TabTRADER[[#This Row],[L_Sp]])*(1-Commission)*TabTRADER[[#This Row],[Scale]]</f>
        <v>-6184.5000000000027</v>
      </c>
      <c r="AX87" s="754">
        <f ca="1">TabTRADER[[#This Row],[L_Sn]]*(TabTRADER[[#This Row],[Agiotage]]-TabTRADER[[#This Row],[M]])/(TabTRADER[[#This Row],[L_Bn]]*TabTRADER[[#This Row],[M]])</f>
        <v>-0.9865387840569334</v>
      </c>
      <c r="AY87" s="690">
        <f ca="1">IFERROR((TabTRADER[[#This Row],[M]]-TabTRADER[[#This Row],[A]])/TabTRADER[[#This Row],[A]],0)</f>
        <v>-0.15964955951078943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-34,611$</v>
      </c>
      <c r="BA87" s="744">
        <f ca="1">_xlfn.XLOOKUP(TabTRADER[[#This Row],[ClickTick]],TabCalc[[#This Row],[Ticker]],TabCalc[[#This Row],[GL]])*(1-Commission)</f>
        <v>-51549.628935000001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3.460359176522132E-2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-5.6306701100049476E-2</v>
      </c>
      <c r="BL87" s="749">
        <f ca="1">(TabTRADER[[#This Row],[M]]-TabTRADER[[#This Row],[Agiotage]])/(TabTRADER[[#This Row],[M]]-TabTRADER[[#This Row],[A]])-1</f>
        <v>-6.1928630701039058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-1,696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-6,472$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-12,105$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25.2% = 830</v>
      </c>
      <c r="I88" s="245" t="str">
        <f ca="1">IFERROR(TRUNC(TabCalc[[#This Row],[L_S1p]],2)&amp;"x"&amp;TabCalc[[#This Row],[L_S1n]]&amp;"=   "&amp;TEXT(TabCalc[[#This Row],[ReverseB1]],"#,#0"),"")</f>
        <v>28.22x1990=   8,647</v>
      </c>
      <c r="J88" s="318">
        <f ca="1">_xlfn.XLOOKUP(TabTRADER[[#This Row],[ClickTick]],TabCalc[Ticker],ListGravity)</f>
        <v>1.2084229480737019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7164</v>
      </c>
      <c r="M88" s="346">
        <f ca="1">_xlfn.XLOOKUP(TabTRADER[[#This Row],[ClickTick]],TabCalc[Ticker],TabCalc[Agiotage])</f>
        <v>2.1864489741497417</v>
      </c>
      <c r="N88" s="347" cm="1">
        <f t="array" aca="1" ref="N88" ca="1">_xlfn.XLOOKUP(TabTRADER[[#This Row],[ClickTick]],ListTickers,Tab2RSIConventional[RSIConv20])</f>
        <v>19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-4.2502004811547804E-2</v>
      </c>
      <c r="S88" s="743">
        <f ca="1">_xlfn.XLOOKUP(TabTRADER[[#This Row],[ClickTick]],SORTING!AG$3:AG$95,SORTING!AH$3:AH$95)*(1-Commission)</f>
        <v>-1691.7600000000036</v>
      </c>
      <c r="T88" s="866">
        <f ca="1">_xlfn.XLOOKUP(TabTRADER[[#This Row],[ClickTick]],TabCalc[Ticker],TabCalc[Agiotage])</f>
        <v>2.1864489741497417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-1,488&lt;=-1,488 / -3.9%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23.88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-3.9420999999999998E-2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-10/38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4.1888609715242976E-2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-5.1866853329346471E-2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4.4388609715242978E-2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1691.7600000000036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4.1888609715242976E-2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1691.7600000000036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-1.06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-4.2395749799518934E-2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4.1888609715242976E-2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0.20139655276200419</v>
      </c>
      <c r="AW88" s="796">
        <f ca="1">TabTRADER[[#This Row],[L_Sn]]*(TabTRADER[[#This Row],[M]]-TabTRADER[[#This Row],[L_Sp]])*(1-Commission)*TabTRADER[[#This Row],[Scale]]</f>
        <v>-12074.360445000004</v>
      </c>
      <c r="AX88" s="754">
        <f ca="1">TabTRADER[[#This Row],[L_Sn]]*(TabTRADER[[#This Row],[Agiotage]]-TabTRADER[[#This Row],[M]])/(TabTRADER[[#This Row],[L_Bn]]*TabTRADER[[#This Row],[M]])</f>
        <v>-1.1412279512656778</v>
      </c>
      <c r="AY88" s="690">
        <f ca="1">IFERROR((TabTRADER[[#This Row],[M]]-TabTRADER[[#This Row],[A]])/TabTRADER[[#This Row],[A]],0)</f>
        <v>-4.2502004811547804E-2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-1,692$</v>
      </c>
      <c r="BA88" s="744">
        <f ca="1">_xlfn.XLOOKUP(TabTRADER[[#This Row],[ClickTick]],TabCalc[[#This Row],[Ticker]],TabCalc[[#This Row],[GL]])*(1-Commission)</f>
        <v>-9720.7153050000015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4.4388609715242978E-2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-2.4351280846803304E-2</v>
      </c>
      <c r="BL88" s="749">
        <f ca="1">(TabTRADER[[#This Row],[M]]-TabTRADER[[#This Row],[Agiotage]])/(TabTRADER[[#This Row],[M]]-TabTRADER[[#This Row],[A]])-1</f>
        <v>-21.465614175330387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+6,625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-1,185$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-7,585$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76.5% = 1,978</v>
      </c>
      <c r="I89" s="245" t="str">
        <f ca="1">IFERROR(TRUNC(TabCalc[[#This Row],[L_S1p]],2)&amp;"x"&amp;TabCalc[[#This Row],[L_S1n]]&amp;"=   "&amp;TEXT(TabCalc[[#This Row],[ReverseB1]],"#,#0"),"")</f>
        <v>5.58x8000=   18,235</v>
      </c>
      <c r="J89" s="318">
        <f ca="1">_xlfn.XLOOKUP(TabTRADER[[#This Row],[ClickTick]],TabCalc[Ticker],ListGravity)</f>
        <v>1.1770045385779122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92540</v>
      </c>
      <c r="M89" s="346">
        <f ca="1">_xlfn.XLOOKUP(TabTRADER[[#This Row],[ClickTick]],TabCalc[Ticker],TabCalc[Agiotage])</f>
        <v>1.193715129297465</v>
      </c>
      <c r="N89" s="347" cm="1">
        <f t="array" aca="1" ref="N89" ca="1">_xlfn.XLOOKUP(TabTRADER[[#This Row],[ClickTick]],ListTickers,Tab2RSIConventional[RSIConv20])</f>
        <v>58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8.7171052631578982E-2</v>
      </c>
      <c r="S89" s="743">
        <f ca="1">_xlfn.XLOOKUP(TabTRADER[[#This Row],[ClickTick]],SORTING!AG$3:AG$95,SORTING!AH$3:AH$95)*(1-Commission)</f>
        <v>6608.4375000000027</v>
      </c>
      <c r="T89" s="866">
        <f ca="1">_xlfn.XLOOKUP(TabTRADER[[#This Row],[ClickTick]],TabCalc[Ticker],TabCalc[Agiotage])</f>
        <v>1.193715129297465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875&lt;=875 / 1.4%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3.3050000000000002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1.3804E-2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Pile-2/116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6608.4375000000027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8.7171052631578982E-2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0.68220823798627028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-8010.7764118498808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7.2105575967149296E-2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0.43342533385905063</v>
      </c>
      <c r="AW89" s="796">
        <f ca="1">TabTRADER[[#This Row],[L_Sn]]*(TabTRADER[[#This Row],[M]]-TabTRADER[[#This Row],[L_Sp]])*(1-Commission)*TabTRADER[[#This Row],[Scale]]</f>
        <v>-7565.937750000001</v>
      </c>
      <c r="AX89" s="754">
        <f ca="1">TabTRADER[[#This Row],[L_Sn]]*(TabTRADER[[#This Row],[Agiotage]]-TabTRADER[[#This Row],[M]])/(TabTRADER[[#This Row],[L_Bn]]*TabTRADER[[#This Row],[M]])</f>
        <v>-7.6657847045175267E-2</v>
      </c>
      <c r="AY89" s="690">
        <f ca="1">IFERROR((TabTRADER[[#This Row],[M]]-TabTRADER[[#This Row],[A]])/TabTRADER[[#This Row],[A]],0)</f>
        <v>-6.9426008607859663E-2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-8,608$</v>
      </c>
      <c r="BA89" s="744">
        <f ca="1">_xlfn.XLOOKUP(TabTRADER[[#This Row],[ClickTick]],TabCalc[[#This Row],[Ticker]],TabCalc[[#This Row],[GL]])*(1-Commission)</f>
        <v>-2204.3752499999941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-7.6408404844472712E-4</v>
      </c>
      <c r="BL89" s="749">
        <f ca="1">(TabTRADER[[#This Row],[M]]-TabTRADER[[#This Row],[Agiotage]])/(TabTRADER[[#This Row],[M]]-TabTRADER[[#This Row],[A]])-1</f>
        <v>-9.5625690005317239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-4.2%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8,945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-2,795$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8,945</v>
      </c>
      <c r="I90" s="245" t="str">
        <f ca="1">IFERROR(TRUNC(TabCalc[[#This Row],[L_S1p]],2)&amp;"x"&amp;TabCalc[[#This Row],[L_S1n]]&amp;"=   "&amp;TEXT(TabCalc[[#This Row],[ReverseB1]],"#,#0"),"")</f>
        <v>33.25x1300=   -2,665</v>
      </c>
      <c r="J90" s="318">
        <f ca="1">_xlfn.XLOOKUP(TabTRADER[[#This Row],[ClickTick]],TabCalc[Ticker],ListGravity)</f>
        <v>1.2240793201133147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1.3919199362700079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-4.0476662924616276E-2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1.3919199362700079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35.299999999999997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5.9850000000000007E-3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2788.0125000000235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1.5588834044452009E-2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-5.6920307237741635E-2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0.16422055427251731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-0.14385977337110478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1.5588834044452009E-2</v>
      </c>
      <c r="AW90" s="796">
        <f ca="1">TabTRADER[[#This Row],[L_Sn]]*(TabTRADER[[#This Row],[M]]-TabTRADER[[#This Row],[L_Sp]])*(1-Commission)*TabTRADER[[#This Row],[Scale]]</f>
        <v>-2788.0125000000235</v>
      </c>
      <c r="AX90" s="754">
        <f ca="1">TabTRADER[[#This Row],[L_Sn]]*(TabTRADER[[#This Row],[Agiotage]]-TabTRADER[[#This Row],[M]])/(TabTRADER[[#This Row],[L_Bn]]*TabTRADER[[#This Row],[M]])</f>
        <v>-2.0881931311571615</v>
      </c>
      <c r="AY90" s="690">
        <f ca="1">IFERROR((TabTRADER[[#This Row],[M]]-TabTRADER[[#This Row],[A]])/TabTRADER[[#This Row],[A]],0)</f>
        <v>0.16463213460903989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5.7952064255971942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17.5%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23,200$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-15.9% = 0</v>
      </c>
      <c r="I91" s="245" t="str">
        <f ca="1">IFERROR(TRUNC(TabCalc[[#This Row],[L_S1p]],2)&amp;"x"&amp;TabCalc[[#This Row],[L_S1n]]&amp;"=   "&amp;TEXT(TabCalc[[#This Row],[ReverseB1]],"#,#0"),"")</f>
        <v>67.82x1500=   -7,560</v>
      </c>
      <c r="J91" s="318">
        <f ca="1">_xlfn.XLOOKUP(TabTRADER[[#This Row],[ClickTick]],TabCalc[Ticker],ListGravity)</f>
        <v>1.1723853966511117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0.63299572247995461</v>
      </c>
      <c r="N91" s="347" cm="1">
        <f t="array" aca="1" ref="N91" ca="1">_xlfn.XLOOKUP(TabTRADER[[#This Row],[ClickTick]],ListTickers,Tab2RSIConventional[RSIConv20])</f>
        <v>21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0.21150648486863982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0.63299572247995461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-1.8%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72.86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-1.8456E-2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0.18616707714599104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0x12.72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0.21097771865646822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-0.16170944276695035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-0.1893568396996409</v>
      </c>
      <c r="AW91" s="796">
        <f ca="1">TabTRADER[[#This Row],[L_Sn]]*(TabTRADER[[#This Row],[M]]-TabTRADER[[#This Row],[L_Sp]])*(1-Commission)*TabTRADER[[#This Row],[Scale]]</f>
        <v>23142.000000000004</v>
      </c>
      <c r="AX91" s="754">
        <f ca="1">TabTRADER[[#This Row],[L_Sn]]*(TabTRADER[[#This Row],[Agiotage]]-TabTRADER[[#This Row],[M]])/(TabTRADER[[#This Row],[L_Bn]]*TabTRADER[[#This Row],[M]])</f>
        <v>-0.99131216411638812</v>
      </c>
      <c r="AY91" s="690">
        <f ca="1">IFERROR((TabTRADER[[#This Row],[M]]-TabTRADER[[#This Row],[A]])/TabTRADER[[#This Row],[A]],0)</f>
        <v>0.21150648486863982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4.6782236067232743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+40,490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123/2,200=23,792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3,106</v>
      </c>
      <c r="F92" s="245" t="str">
        <f ca="1">TRUNC(TabCalc[[#This Row],[L_B1p]],2)&amp;"x"&amp;TabCalc[[#This Row],[L_B1n]]&amp;"=   "&amp;TEXT(TabCalc[[#This Row],[ReverseS1]],"#,#0")&amp;"$"</f>
        <v>-140.46x150=   7,832$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-403$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3,106</v>
      </c>
      <c r="I92" s="245" t="str">
        <f ca="1">IFERROR(TRUNC(TabCalc[[#This Row],[L_S1p]],2)&amp;"x"&amp;TabCalc[[#This Row],[L_S1n]]&amp;"=   "&amp;TEXT(TabCalc[[#This Row],[ReverseB1]],"#,#0"),"")</f>
        <v>169.12x350=   -8,242</v>
      </c>
      <c r="J92" s="318">
        <f ca="1">_xlfn.XLOOKUP(TabTRADER[[#This Row],[ClickTick]],TabCalc[Ticker],ListGravity)</f>
        <v>1.0251922977111123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38534</v>
      </c>
      <c r="M92" s="346">
        <f ca="1">_xlfn.XLOOKUP(TabTRADER[[#This Row],[ClickTick]],TabCalc[Ticker],TabCalc[Agiotage])</f>
        <v>0.81019221150410858</v>
      </c>
      <c r="N92" s="347" cm="1">
        <f t="array" aca="1" ref="N92" ca="1">_xlfn.XLOOKUP(TabTRADER[[#This Row],[ClickTick]],ListTickers,Tab2RSIConventional[RSIConv20])</f>
        <v>63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0.26606650019713485</v>
      </c>
      <c r="S92" s="743">
        <f ca="1">_xlfn.XLOOKUP(TabTRADER[[#This Row],[ClickTick]],SORTING!AG$3:AG$95,SORTING!AH$3:AH$95)*(1-Commission)</f>
        <v>40388.77499999998</v>
      </c>
      <c r="T92" s="866">
        <f ca="1">_xlfn.XLOOKUP(TabTRADER[[#This Row],[ClickTick]],TabCalc[Ticker],TabCalc[Agiotage])</f>
        <v>0.81019221150410858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1,430&lt;=1,430 / -0.4%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192.67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-3.6720000000000004E-3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Pile^273/424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401.49375000000344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8.2870084414248188E-3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1.9547742871626235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-105108.220875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0.33000767772985035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-0.25109191646574214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8.2870084414248188E-3</v>
      </c>
      <c r="AW92" s="796">
        <f ca="1">TabTRADER[[#This Row],[L_Sn]]*(TabTRADER[[#This Row],[M]]-TabTRADER[[#This Row],[L_Sp]])*(1-Commission)*TabTRADER[[#This Row],[Scale]]</f>
        <v>-401.49375000000344</v>
      </c>
      <c r="AX92" s="754">
        <f ca="1">TabTRADER[[#This Row],[L_Sn]]*(TabTRADER[[#This Row],[Agiotage]]-TabTRADER[[#This Row],[M]])/(TabTRADER[[#This Row],[L_Bn]]*TabTRADER[[#This Row],[M]])</f>
        <v>-0.24894873071637499</v>
      </c>
      <c r="AY92" s="690">
        <f ca="1">IFERROR((TabTRADER[[#This Row],[M]]-TabTRADER[[#This Row],[A]])/TabTRADER[[#This Row],[A]],0)</f>
        <v>0.33083476464145395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105,108$</v>
      </c>
      <c r="BA92" s="744">
        <f ca="1">_xlfn.XLOOKUP(TabTRADER[[#This Row],[ClickTick]],TabCalc[[#This Row],[Ticker]],TabCalc[[#This Row],[GL]])*(1-Commission)</f>
        <v>272189.66837999999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-0.85464823469420892</v>
      </c>
      <c r="BL92" s="749">
        <f ca="1">(TabTRADER[[#This Row],[M]]-TabTRADER[[#This Row],[Agiotage]])/(TabTRADER[[#This Row],[M]]-TabTRADER[[#This Row],[A]])-1</f>
        <v>3.0057413652978866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1.1021109961556979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+3,525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4.5%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9,203</v>
      </c>
      <c r="F94" s="245" t="str">
        <f ca="1">TRUNC(TabCalc[[#This Row],[L_B1p]],2)&amp;"x"&amp;TabCalc[[#This Row],[L_B1n]]&amp;"=   "&amp;TEXT(TabCalc[[#This Row],[ReverseS1]],"#,#0")&amp;"$"</f>
        <v>-14.73x2000=   1,590$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-2,716$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3.5% = 9,203</v>
      </c>
      <c r="I94" s="245" t="str">
        <f ca="1">IFERROR(TRUNC(TabCalc[[#This Row],[L_S1p]],2)&amp;"x"&amp;TabCalc[[#This Row],[L_S1n]]&amp;"=   "&amp;TEXT(TabCalc[[#This Row],[ReverseB1]],"#,#0"),"")</f>
        <v>15.54x3000=   68</v>
      </c>
      <c r="J94" s="318">
        <f ca="1">_xlfn.XLOOKUP(TabTRADER[[#This Row],[ClickTick]],TabCalc[Ticker],ListGravity)</f>
        <v>1.0879227053140097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1.2674223751841054</v>
      </c>
      <c r="N94" s="347" cm="1">
        <f t="array" aca="1" ref="N94" ca="1">_xlfn.XLOOKUP(TabTRADER[[#This Row],[ClickTick]],ListTickers,Tab2RSIConventional[RSIConv20])</f>
        <v>52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4.7570850202429155E-2</v>
      </c>
      <c r="S94" s="743">
        <f ca="1">_xlfn.XLOOKUP(TabTRADER[[#This Row],[ClickTick]],SORTING!AG$3:AG$95,SORTING!AH$3:AH$95)*(1-Commission)</f>
        <v>3516.1875000000005</v>
      </c>
      <c r="T94" s="866">
        <f ca="1">_xlfn.XLOOKUP(TabTRADER[[#This Row],[ClickTick]],TabCalc[Ticker],TabCalc[Agiotage])</f>
        <v>1.2674223751841054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2,975&lt;=2,975 / 1.5%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15.525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1.5038000000000001E-2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Pile^261/264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3516.1875000000005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4.7570850202429155E-2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1.7125506072874495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46218.864929457479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-0.15184166903476365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3.381071278319777E-2</v>
      </c>
      <c r="AW94" s="796">
        <f ca="1">TabTRADER[[#This Row],[L_Sn]]*(TabTRADER[[#This Row],[M]]-TabTRADER[[#This Row],[L_Sp]])*(1-Commission)*TabTRADER[[#This Row],[Scale]]</f>
        <v>-2709.6090000000058</v>
      </c>
      <c r="AX94" s="754">
        <f ca="1">TabTRADER[[#This Row],[L_Sn]]*(TabTRADER[[#This Row],[Agiotage]]-TabTRADER[[#This Row],[M]])/(TabTRADER[[#This Row],[L_Bn]]*TabTRADER[[#This Row],[M]])</f>
        <v>-0.91836248791084663</v>
      </c>
      <c r="AY94" s="690">
        <f ca="1">IFERROR((TabTRADER[[#This Row],[M]]-TabTRADER[[#This Row],[A]])/TabTRADER[[#This Row],[A]],0)</f>
        <v>0.17556010868112776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39,316$</v>
      </c>
      <c r="BA94" s="744">
        <f ca="1">_xlfn.XLOOKUP(TabTRADER[[#This Row],[ClickTick]],TabCalc[[#This Row],[Ticker]],TabCalc[[#This Row],[GL]])*(1-Commission)</f>
        <v>260355.57875250003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-3.690196561717055E-3</v>
      </c>
      <c r="BL94" s="749">
        <f ca="1">(TabTRADER[[#This Row],[M]]-TabTRADER[[#This Row],[Agiotage]])/(TabTRADER[[#This Row],[M]]-TabTRADER[[#This Row],[A]])-1</f>
        <v>5.149405546666757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+382,493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48.2%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1,008/77,100=10,382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72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0.92902621722846446</v>
      </c>
      <c r="S95" s="743">
        <f ca="1">_xlfn.XLOOKUP(TabTRADER[[#This Row],[ClickTick]],SORTING!AG$3:AG$95,SORTING!AH$3:AH$95)*(1-Commission)</f>
        <v>381536.86725000007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-5,783&lt;=-5,783 / -0.9%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10.301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-9.3289999999999988E-3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^382/794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381536.86725000007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0.92902621722846446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0.27732125887416847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735994.6197644663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-0.48410372779341815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0.92902621722846446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381,537$</v>
      </c>
      <c r="BA95" s="744">
        <f ca="1">_xlfn.XLOOKUP(TabTRADER[[#This Row],[ClickTick]],TabCalc[[#This Row],[Ticker]],TabCalc[[#This Row],[GL]])*(1-Commission)</f>
        <v>381536.86725000001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0.87482362426930038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162386.63839188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42769.702762499976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6.1988782508167235</v>
      </c>
      <c r="AS96" s="913">
        <f ca="1">SUBTOTAL(109,TabTRADER[BuyMore])</f>
        <v>-4.2875555168497375</v>
      </c>
      <c r="AT96" s="729"/>
      <c r="AU96" s="742"/>
      <c r="AV96" s="779"/>
      <c r="AW96" s="797">
        <f ca="1">SUBTOTAL(109,TabTRADER[Buy_Back])</f>
        <v>123858.48273749997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6729226.7823769795</v>
      </c>
      <c r="BB96" s="745"/>
      <c r="BC96" s="730"/>
      <c r="BD96" s="731">
        <f>SUBTOTAL(103,TabTRADER[Status])</f>
        <v>18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10.793382129529823</v>
      </c>
      <c r="AT97" s="893">
        <f ca="1">SUM(TabTRADER[BuyMore])</f>
        <v>36.568388303816569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52560.284962499965</v>
      </c>
      <c r="AJ98" s="102"/>
      <c r="AK98" s="102"/>
      <c r="AL98" s="102"/>
      <c r="AM98" s="102"/>
      <c r="AO98" s="102">
        <f ca="1">SUM(AO3:AO95)</f>
        <v>8618992.7567886561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530059.86206775007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635" priority="130" operator="containsText" text="x0">
      <formula>NOT(ISERROR(SEARCH("x0",G3)))</formula>
    </cfRule>
    <cfRule type="containsText" dxfId="634" priority="153" operator="containsText" text=" -">
      <formula>NOT(ISERROR(SEARCH(" -",G3)))</formula>
    </cfRule>
  </conditionalFormatting>
  <conditionalFormatting sqref="I3:I95">
    <cfRule type="containsText" dxfId="633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632" priority="147" operator="containsText" text=" 0">
      <formula>NOT(ISERROR(SEARCH(" 0",B3)))</formula>
    </cfRule>
  </conditionalFormatting>
  <conditionalFormatting sqref="B3:B95">
    <cfRule type="containsText" dxfId="631" priority="148" operator="containsText" text=" -">
      <formula>NOT(ISERROR(SEARCH(" -",B3)))</formula>
    </cfRule>
  </conditionalFormatting>
  <conditionalFormatting sqref="H3:I95">
    <cfRule type="containsText" dxfId="630" priority="143" operator="containsText" text="Free">
      <formula>NOT(ISERROR(SEARCH("Free",H3)))</formula>
    </cfRule>
    <cfRule type="containsText" dxfId="629" priority="144" operator="containsText" text="Buy">
      <formula>NOT(ISERROR(SEARCH("Buy",H3)))</formula>
    </cfRule>
    <cfRule type="containsText" dxfId="628" priority="145" operator="containsText" text="Refill">
      <formula>NOT(ISERROR(SEARCH("Refill",H3)))</formula>
    </cfRule>
    <cfRule type="containsText" dxfId="627" priority="146" operator="containsText" text="S_more">
      <formula>NOT(ISERROR(SEARCH("S_more",H3)))</formula>
    </cfRule>
  </conditionalFormatting>
  <conditionalFormatting sqref="D97 C2:C95">
    <cfRule type="containsText" dxfId="626" priority="139" operator="containsText" text="Free">
      <formula>NOT(ISERROR(SEARCH("Free",C2)))</formula>
    </cfRule>
    <cfRule type="containsText" dxfId="625" priority="140" operator="containsText" text="Sell">
      <formula>NOT(ISERROR(SEARCH("Sell",C2)))</formula>
    </cfRule>
    <cfRule type="containsText" dxfId="624" priority="141" operator="containsText" text="Re-Sell">
      <formula>NOT(ISERROR(SEARCH("Re-Sell",C2)))</formula>
    </cfRule>
    <cfRule type="containsText" dxfId="623" priority="142" operator="containsText" text="B_more">
      <formula>NOT(ISERROR(SEARCH("B_more",C2)))</formula>
    </cfRule>
  </conditionalFormatting>
  <conditionalFormatting sqref="N97 E3:E95">
    <cfRule type="containsText" dxfId="622" priority="127" operator="containsText" text="Free">
      <formula>NOT(ISERROR(SEARCH("Free",E3)))</formula>
    </cfRule>
    <cfRule type="containsText" dxfId="621" priority="134" operator="containsText" text="M&lt;min">
      <formula>NOT(ISERROR(SEARCH("M&lt;min",E3)))</formula>
    </cfRule>
    <cfRule type="containsText" dxfId="620" priority="135" operator="containsText" text="A&lt;M">
      <formula>NOT(ISERROR(SEARCH("A&lt;M",E3)))</formula>
    </cfRule>
    <cfRule type="containsText" dxfId="619" priority="136" operator="containsText" text="M&gt;Last Sale">
      <formula>NOT(ISERROR(SEARCH("M&gt;Last Sale",E3)))</formula>
    </cfRule>
    <cfRule type="containsText" dxfId="618" priority="137" operator="containsText" text="M&gt;Y">
      <formula>NOT(ISERROR(SEARCH("M&gt;Y",E3)))</formula>
    </cfRule>
  </conditionalFormatting>
  <conditionalFormatting sqref="C3:C95">
    <cfRule type="expression" dxfId="617" priority="131">
      <formula>#REF!=0</formula>
    </cfRule>
  </conditionalFormatting>
  <conditionalFormatting sqref="N97 E3:E95">
    <cfRule type="containsText" dxfId="616" priority="133" operator="containsText" text="A&gt;M">
      <formula>NOT(ISERROR(SEARCH("A&gt;M",E3)))</formula>
    </cfRule>
  </conditionalFormatting>
  <conditionalFormatting sqref="BD2:BH95">
    <cfRule type="containsText" dxfId="615" priority="120" operator="containsText" text="Trade">
      <formula>NOT(ISERROR(SEARCH("Trade",BD2)))</formula>
    </cfRule>
  </conditionalFormatting>
  <conditionalFormatting sqref="D3:E95">
    <cfRule type="expression" dxfId="614" priority="167">
      <formula>#REF!=0</formula>
    </cfRule>
    <cfRule type="expression" dxfId="613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612" priority="116" operator="greaterThan">
      <formula>0</formula>
    </cfRule>
    <cfRule type="cellIs" dxfId="611" priority="117" operator="lessThan">
      <formula>0</formula>
    </cfRule>
  </conditionalFormatting>
  <conditionalFormatting sqref="BC3:BC95">
    <cfRule type="containsText" dxfId="610" priority="107" operator="containsText" text="Pile">
      <formula>NOT(ISERROR(SEARCH("Pile",BC3)))</formula>
    </cfRule>
  </conditionalFormatting>
  <conditionalFormatting sqref="BJ96:BL96">
    <cfRule type="expression" dxfId="609" priority="104">
      <formula>$BD97&gt;=$BC97</formula>
    </cfRule>
  </conditionalFormatting>
  <conditionalFormatting sqref="BJ2:BL95">
    <cfRule type="expression" dxfId="608" priority="1053">
      <formula>$BJ3&gt;=$BI3</formula>
    </cfRule>
  </conditionalFormatting>
  <conditionalFormatting sqref="U96">
    <cfRule type="cellIs" dxfId="607" priority="102" operator="lessThan">
      <formula>"/ -"</formula>
    </cfRule>
  </conditionalFormatting>
  <conditionalFormatting sqref="S2:S96">
    <cfRule type="cellIs" dxfId="606" priority="100" operator="lessThan">
      <formula>-1000</formula>
    </cfRule>
    <cfRule type="cellIs" dxfId="605" priority="101" operator="greaterThan">
      <formula>1000</formula>
    </cfRule>
  </conditionalFormatting>
  <conditionalFormatting sqref="O3:O95">
    <cfRule type="containsText" dxfId="604" priority="97" operator="containsText" text="Pile">
      <formula>NOT(ISERROR(SEARCH("Pile",O3)))</formula>
    </cfRule>
  </conditionalFormatting>
  <conditionalFormatting sqref="AD2:AD96">
    <cfRule type="containsText" dxfId="603" priority="89" operator="containsText" text="Trade">
      <formula>NOT(ISERROR(SEARCH("Trade",AD2)))</formula>
    </cfRule>
    <cfRule type="containsText" dxfId="602" priority="96" operator="containsText" text="Pile^">
      <formula>NOT(ISERROR(SEARCH("Pile^",AD2)))</formula>
    </cfRule>
  </conditionalFormatting>
  <conditionalFormatting sqref="AX3:AX95">
    <cfRule type="cellIs" dxfId="601" priority="91" operator="lessThan">
      <formula>0</formula>
    </cfRule>
    <cfRule type="expression" dxfId="600" priority="1336">
      <formula>AND($AX3&gt;50%,$AX3&lt;100%)</formula>
    </cfRule>
    <cfRule type="cellIs" dxfId="599" priority="1337" operator="greaterThan">
      <formula>1</formula>
    </cfRule>
  </conditionalFormatting>
  <conditionalFormatting sqref="U3:U95">
    <cfRule type="containsText" dxfId="598" priority="84" operator="containsText" text="/ -">
      <formula>NOT(ISERROR(SEARCH("/ -",U3)))</formula>
    </cfRule>
  </conditionalFormatting>
  <conditionalFormatting sqref="AE3:AE95">
    <cfRule type="expression" dxfId="597" priority="33">
      <formula>AE3=$AD$105</formula>
    </cfRule>
    <cfRule type="expression" dxfId="596" priority="76">
      <formula>AE3=$AD$101</formula>
    </cfRule>
  </conditionalFormatting>
  <conditionalFormatting sqref="BI2:BI95">
    <cfRule type="containsText" dxfId="595" priority="70" operator="containsText" text="Trade">
      <formula>NOT(ISERROR(SEARCH("Trade",BI2)))</formula>
    </cfRule>
  </conditionalFormatting>
  <conditionalFormatting sqref="AD100">
    <cfRule type="containsText" dxfId="594" priority="64" operator="containsText" text="More">
      <formula>NOT(ISERROR(SEARCH("More",AD100)))</formula>
    </cfRule>
    <cfRule type="containsText" dxfId="593" priority="65" operator="containsText" text="Up">
      <formula>NOT(ISERROR(SEARCH("Up",AD100)))</formula>
    </cfRule>
    <cfRule type="containsText" dxfId="592" priority="66" operator="containsText" text="Down">
      <formula>NOT(ISERROR(SEARCH("Down",AD100)))</formula>
    </cfRule>
  </conditionalFormatting>
  <conditionalFormatting sqref="AD100">
    <cfRule type="containsText" dxfId="591" priority="67" operator="containsText" text="Buy">
      <formula>NOT(ISERROR(SEARCH("Buy",AD100)))</formula>
    </cfRule>
    <cfRule type="containsText" dxfId="590" priority="68" operator="containsText" text="Sell">
      <formula>NOT(ISERROR(SEARCH("Sell",AD100)))</formula>
    </cfRule>
  </conditionalFormatting>
  <conditionalFormatting sqref="AD101">
    <cfRule type="containsText" dxfId="589" priority="54" operator="containsText" text="More">
      <formula>NOT(ISERROR(SEARCH("More",AD101)))</formula>
    </cfRule>
    <cfRule type="containsText" dxfId="588" priority="55" operator="containsText" text="Up">
      <formula>NOT(ISERROR(SEARCH("Up",AD101)))</formula>
    </cfRule>
    <cfRule type="containsText" dxfId="587" priority="56" operator="containsText" text="Down">
      <formula>NOT(ISERROR(SEARCH("Down",AD101)))</formula>
    </cfRule>
  </conditionalFormatting>
  <conditionalFormatting sqref="AD101">
    <cfRule type="containsText" dxfId="586" priority="57" operator="containsText" text="Buy">
      <formula>NOT(ISERROR(SEARCH("Buy",AD101)))</formula>
    </cfRule>
    <cfRule type="containsText" dxfId="585" priority="58" operator="containsText" text="Sell">
      <formula>NOT(ISERROR(SEARCH("Sell",AD101)))</formula>
    </cfRule>
  </conditionalFormatting>
  <conditionalFormatting sqref="AD104">
    <cfRule type="containsText" dxfId="584" priority="49" operator="containsText" text="More">
      <formula>NOT(ISERROR(SEARCH("More",AD104)))</formula>
    </cfRule>
    <cfRule type="containsText" dxfId="583" priority="50" operator="containsText" text="Up">
      <formula>NOT(ISERROR(SEARCH("Up",AD104)))</formula>
    </cfRule>
    <cfRule type="containsText" dxfId="582" priority="51" operator="containsText" text="Down">
      <formula>NOT(ISERROR(SEARCH("Down",AD104)))</formula>
    </cfRule>
  </conditionalFormatting>
  <conditionalFormatting sqref="AD104">
    <cfRule type="containsText" dxfId="581" priority="52" operator="containsText" text="Buy">
      <formula>NOT(ISERROR(SEARCH("Buy",AD104)))</formula>
    </cfRule>
    <cfRule type="containsText" dxfId="580" priority="53" operator="containsText" text="Sell">
      <formula>NOT(ISERROR(SEARCH("Sell",AD104)))</formula>
    </cfRule>
  </conditionalFormatting>
  <conditionalFormatting sqref="AD105">
    <cfRule type="containsText" dxfId="579" priority="44" operator="containsText" text="More">
      <formula>NOT(ISERROR(SEARCH("More",AD105)))</formula>
    </cfRule>
    <cfRule type="containsText" dxfId="578" priority="45" operator="containsText" text="Up">
      <formula>NOT(ISERROR(SEARCH("Up",AD105)))</formula>
    </cfRule>
    <cfRule type="containsText" dxfId="577" priority="46" operator="containsText" text="Down">
      <formula>NOT(ISERROR(SEARCH("Down",AD105)))</formula>
    </cfRule>
  </conditionalFormatting>
  <conditionalFormatting sqref="AD105">
    <cfRule type="containsText" dxfId="576" priority="47" operator="containsText" text="Buy">
      <formula>NOT(ISERROR(SEARCH("Buy",AD105)))</formula>
    </cfRule>
    <cfRule type="containsText" dxfId="575" priority="48" operator="containsText" text="Sell">
      <formula>NOT(ISERROR(SEARCH("Sell",AD105)))</formula>
    </cfRule>
  </conditionalFormatting>
  <conditionalFormatting sqref="AS3:AS95">
    <cfRule type="containsText" dxfId="574" priority="39" operator="containsText" text="More">
      <formula>NOT(ISERROR(SEARCH("More",AS3)))</formula>
    </cfRule>
    <cfRule type="containsText" dxfId="573" priority="40" operator="containsText" text="Up">
      <formula>NOT(ISERROR(SEARCH("Up",AS3)))</formula>
    </cfRule>
    <cfRule type="containsText" dxfId="572" priority="41" operator="containsText" text="Down">
      <formula>NOT(ISERROR(SEARCH("Down",AS3)))</formula>
    </cfRule>
  </conditionalFormatting>
  <conditionalFormatting sqref="AS3:AS95">
    <cfRule type="containsText" dxfId="571" priority="42" operator="containsText" text="Buy">
      <formula>NOT(ISERROR(SEARCH("Buy",AS3)))</formula>
    </cfRule>
    <cfRule type="containsText" dxfId="570" priority="43" operator="containsText" text="Sell">
      <formula>NOT(ISERROR(SEARCH("Sell",AS3)))</formula>
    </cfRule>
  </conditionalFormatting>
  <conditionalFormatting sqref="Y3:Y95">
    <cfRule type="expression" dxfId="569" priority="7">
      <formula>AND(Y3&lt;&gt;0,Y3&lt;MIN(W3,AA3))</formula>
    </cfRule>
    <cfRule type="expression" dxfId="568" priority="30">
      <formula>AND(Y3&lt;&gt;0,Y3&lt;W3,Y3&gt;AA3)</formula>
    </cfRule>
  </conditionalFormatting>
  <conditionalFormatting sqref="AE75">
    <cfRule type="expression" dxfId="567" priority="29">
      <formula>$AD$104</formula>
    </cfRule>
  </conditionalFormatting>
  <conditionalFormatting sqref="T3:T95">
    <cfRule type="expression" dxfId="566" priority="1814" stopIfTrue="1">
      <formula>$T3&gt;MAX(ABS($AA3),$W3)</formula>
    </cfRule>
    <cfRule type="expression" dxfId="565" priority="1815" stopIfTrue="1">
      <formula>$T3&gt;AND(MAX(ABS($AA3),$W3),ABS($AA3)&lt;$W3)</formula>
    </cfRule>
  </conditionalFormatting>
  <conditionalFormatting sqref="T3:T95">
    <cfRule type="expression" dxfId="564" priority="1816" stopIfTrue="1">
      <formula>AND($T3&lt;=MIN(ABS($AA3),$W3),ABS($AA3)&gt;$W3,$W3&lt;=0)</formula>
    </cfRule>
    <cfRule type="expression" dxfId="563" priority="1817" stopIfTrue="1">
      <formula>AND($T3&lt;=MIN(ABS($AA3),$W3),ABS($AA3)&lt;$W3,$W3&lt;=0)</formula>
    </cfRule>
  </conditionalFormatting>
  <conditionalFormatting sqref="W3:W95">
    <cfRule type="expression" dxfId="562" priority="1818">
      <formula>W3&gt;MAX(AA3,Y3)</formula>
    </cfRule>
    <cfRule type="expression" dxfId="561" priority="1819">
      <formula>AND(W3&gt;MAX(Y3,AA3), AA3&lt;Y3)</formula>
    </cfRule>
    <cfRule type="expression" dxfId="560" priority="1820" stopIfTrue="1">
      <formula>AND(W3&gt;MAX(Y3,AA3), AA3&gt;Y3)</formula>
    </cfRule>
    <cfRule type="expression" dxfId="559" priority="1821">
      <formula>AND(W3&lt;MIN(Y3,AA3),AA3&lt;Y3)</formula>
    </cfRule>
    <cfRule type="expression" dxfId="558" priority="1822">
      <formula>AND(AA3&gt;MAX(Y3,W3),Y3&lt;W3)</formula>
    </cfRule>
  </conditionalFormatting>
  <conditionalFormatting sqref="AM3:AO95 AG3:AI95">
    <cfRule type="expression" dxfId="557" priority="1825">
      <formula>$AE3=$AD$101</formula>
    </cfRule>
  </conditionalFormatting>
  <conditionalFormatting sqref="AF3:AG95">
    <cfRule type="expression" dxfId="556" priority="1826">
      <formula>$AE3=$AD$104</formula>
    </cfRule>
  </conditionalFormatting>
  <conditionalFormatting sqref="AM3:AO95 AF3:AI95">
    <cfRule type="expression" dxfId="555" priority="1827">
      <formula>$AE3=$AD$105</formula>
    </cfRule>
  </conditionalFormatting>
  <conditionalFormatting sqref="AE94">
    <cfRule type="expression" dxfId="554" priority="1828">
      <formula>$AE3=$AD$104</formula>
    </cfRule>
  </conditionalFormatting>
  <conditionalFormatting sqref="AQ3:AQ95">
    <cfRule type="containsText" dxfId="553" priority="11" operator="containsText" text="No">
      <formula>NOT(ISERROR(SEARCH("No",AQ3)))</formula>
    </cfRule>
    <cfRule type="containsText" dxfId="552" priority="12" operator="containsText" text="M&lt;">
      <formula>NOT(ISERROR(SEARCH("M&lt;",AQ3)))</formula>
    </cfRule>
    <cfRule type="containsText" dxfId="551" priority="13" operator="containsText" text="M&gt;">
      <formula>NOT(ISERROR(SEARCH("M&gt;",AQ3)))</formula>
    </cfRule>
  </conditionalFormatting>
  <conditionalFormatting sqref="AA3:AA95">
    <cfRule type="expression" dxfId="550" priority="9">
      <formula>$AA3&lt;MIN($W3,$Y3)</formula>
    </cfRule>
  </conditionalFormatting>
  <conditionalFormatting sqref="AH2:AH96">
    <cfRule type="containsText" dxfId="549" priority="6" operator="containsText" text="Don't">
      <formula>NOT(ISERROR(SEARCH("Don't",AH2)))</formula>
    </cfRule>
  </conditionalFormatting>
  <conditionalFormatting sqref="AK2:AK96">
    <cfRule type="cellIs" dxfId="548" priority="4" operator="lessThan">
      <formula>0.5</formula>
    </cfRule>
  </conditionalFormatting>
  <conditionalFormatting sqref="AJ2:AJ96">
    <cfRule type="cellIs" dxfId="547" priority="3" operator="lessThan">
      <formula>0</formula>
    </cfRule>
  </conditionalFormatting>
  <conditionalFormatting sqref="A1:XFD120">
    <cfRule type="expression" dxfId="546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I29" activePane="bottomRight" state="frozen"/>
      <selection pane="topRight" activeCell="I1" sqref="I1"/>
      <selection pane="bottomLeft" activeCell="A3" sqref="A3"/>
      <selection pane="bottomRight" activeCell="H44" sqref="H44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3" width="13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3" t="s">
        <v>184</v>
      </c>
      <c r="AN1" s="1184" t="s">
        <v>2248</v>
      </c>
      <c r="AO1" s="1184"/>
      <c r="AP1" s="1185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6" t="s">
        <v>1737</v>
      </c>
      <c r="AM2" s="1189" t="s">
        <v>2561</v>
      </c>
      <c r="AN2" s="1190" t="s">
        <v>2562</v>
      </c>
      <c r="AO2" s="1190" t="s">
        <v>2563</v>
      </c>
      <c r="AP2" s="1191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69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207" t="s">
        <v>2558</v>
      </c>
      <c r="CY2" s="1208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2527956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234.07</v>
      </c>
      <c r="M3" s="799">
        <f ca="1">[1]!RTData[[#This Row],[Change%]]</f>
        <v>1.7562999999999999E-2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-0.62516971986977798</v>
      </c>
      <c r="T3" s="1059">
        <f ca="1">IFERROR(SUMPRODUCT(DataShift!F1490:Z1490,DataShift!F698:Z698)/SQRT(SUMPRODUCT(DataShift!F1490:Z1490,DataShift!F1490:Z1490)*SUMPRODUCT(DataShift!F698:Z698,DataShift!F698:Z698)),0)</f>
        <v>-6.6140254647004584E-2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10011.000000000002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11222.999999999998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-1115.9999999999995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3015.0000000000036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7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52380</v>
      </c>
      <c r="AN3" s="357">
        <f ca="1">_xlfn.LET(_xlpm.MVToday,DataShift!AV500,         _xlpm.MVY,DataShift!AU500,        _xlpm.MVYY, DataShift!AT500,                                IF(_xlpm.MVToday=_xlpm.MVY,_xlpm.MVY-_xlpm.MVYY,_xlpm.MVToday-_xlpm.MVY))</f>
        <v>39582</v>
      </c>
      <c r="AO3" s="357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2">
        <f ca="1">TabCalc[[#This Row],[Y]]/TabCalc[[#This Row],[M]]</f>
        <v>1.0062183534840006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3" s="91">
        <f t="shared" ref="AV3:AV34" ca="1" si="1">IF(G3&lt;C3,C3-G3,0)</f>
        <v>0</v>
      </c>
      <c r="AW3" s="99">
        <f ca="1">[1]!RTData[[#This Row],[V/VA]]</f>
        <v>1.0247636500725472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1.0247636500725472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633050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1990656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773590.39000000013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45912.856644582811</v>
      </c>
      <c r="BQ3" s="189">
        <f ca="1">(TabCalc[[#This Row],[ValueBegin]]+(TabCalc[[#This Row],[M]]-TabCalc[[#This Row],[A]])*TabCalc[[#This Row],[NAfter]])*TabCalc[[#This Row],[Scale]]</f>
        <v>-177156.59351351345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360143.40648648655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0</v>
      </c>
      <c r="CR3" s="435">
        <f ca="1">IF(TabCalc[[#This Row],[ntoBuy]]*TabCalc[[#This Row],[M]]&lt;=0,0,TabCalc[[#This Row],[ntoBuy]]*TabCalc[[#This Row],[M]])</f>
        <v>0</v>
      </c>
      <c r="CS3" s="435">
        <f ca="1">IF(TabCalc[[#This Row],[M]]&gt;ABS(TabCalc[[#This Row],[L_Bp]]),MIN(TabCalc[[#This Row],[NAfter]],DesiredSaleGain/(TabCalc[[#This Row],[M]]+TabCalc[[#This Row],[L_Bp]])),0)/TabCalc[[#This Row],[Scale]]</f>
        <v>149.83518130056936</v>
      </c>
      <c r="CT3" s="436">
        <f ca="1">TabCalc[[#This Row],[ntoSell]]*TabCalc[[#This Row],[M]]</f>
        <v>35071.920887024266</v>
      </c>
      <c r="CU3" s="428">
        <f ca="1">IF(TabCalc[[#This Row],[M]]-TabCalc[[#This Row],[A]]&lt;=0,"",INT(DesiredSaleGain/(TabCalc[[#This Row],[M]]-IF(TabCalc[[#This Row],[E]]&gt;0,0,TabCalc[[#This Row],[A]]))))</f>
        <v>149</v>
      </c>
      <c r="CV3" s="359">
        <f ca="1">IFERROR(TabCalc[[#This Row],[NME]]*TabCalc[[#This Row],[M]],"")</f>
        <v>34876.43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360143.40648648655</v>
      </c>
      <c r="CX3" s="99">
        <f ca="1">IFERROR((TabCalc[[#This Row],[M]]+TabCalc[[#This Row],[L_Bp]])/ABS(TabCalc[[#This Row],[L_Bp]])/(TODAY()-TabCalc[[#This Row],[L_Bdate]])*360,"")</f>
        <v>0.74820627802690609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93900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15.65</v>
      </c>
      <c r="M4" s="799">
        <f ca="1">[1]!RTData[[#This Row],[Change%]]</f>
        <v>-6.3860000000000002E-4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0.44862399339422893</v>
      </c>
      <c r="T4" s="1059">
        <f ca="1">IFERROR(SUMPRODUCT(DataShift!F1491:Z1491,DataShift!F699:Z699)/SQRT(SUMPRODUCT(DataShift!F1491:Z1491,DataShift!F1491:Z1491)*SUMPRODUCT(DataShift!F699:Z699,DataShift!F699:Z699)),0)</f>
        <v>7.8166884236828507E-2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266.00000000000006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7364.0000000000018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3049.8000000000038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-7898.7000000000053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-180</v>
      </c>
      <c r="AN4" s="357">
        <f ca="1">_xlfn.LET(_xlpm.MVToday,DataShift!AV501,         _xlpm.MVY,DataShift!AU501,        _xlpm.MVYY, DataShift!AT501,                                IF(_xlpm.MVToday=_xlpm.MVY,_xlpm.MVY-_xlpm.MVYY,_xlpm.MVToday-_xlpm.MVY))</f>
        <v>0</v>
      </c>
      <c r="AO4" s="357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3240</v>
      </c>
      <c r="AP4" s="1192">
        <f ca="1">TabCalc[[#This Row],[Y]]/TabCalc[[#This Row],[M]]</f>
        <v>1.3205539936102235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-0.39035680491279384</v>
      </c>
      <c r="AV4" s="91">
        <f t="shared" ca="1" si="1"/>
        <v>3000</v>
      </c>
      <c r="AW4" s="99">
        <f ca="1">[1]!RTData[[#This Row],[V/VA]]</f>
        <v>1.0726240674667531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1.0726240674667531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52320.995999999999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5370.9959999999992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47456.09498200001</v>
      </c>
      <c r="BJ4" s="173">
        <f ca="1">IF(        OR(      TabCalc[[#This Row],[GL]]&gt;ABS(TabCalc[[#This Row],[EfCost]])),             TabCalc[[#This Row],[GL]],     0)</f>
        <v>47456.09498200001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45912.840320728908</v>
      </c>
      <c r="BQ4" s="189">
        <f ca="1">(TabCalc[[#This Row],[ValueBegin]]+(TabCalc[[#This Row],[M]]-TabCalc[[#This Row],[A]])*TabCalc[[#This Row],[NAfter]])*TabCalc[[#This Row],[Scale]]</f>
        <v>-73050.508581999995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15478.495418000008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4901.9607843137192</v>
      </c>
      <c r="CR4" s="435">
        <f ca="1">IF(TabCalc[[#This Row],[ntoBuy]]*TabCalc[[#This Row],[M]]&lt;=0,0,TabCalc[[#This Row],[ntoBuy]]*TabCalc[[#This Row],[M]])</f>
        <v>76715.686274509702</v>
      </c>
      <c r="CS4" s="435">
        <f ca="1">IF(TabCalc[[#This Row],[M]]&gt;ABS(TabCalc[[#This Row],[L_Bp]]),MIN(TabCalc[[#This Row],[NAfter]],DesiredSaleGain/(TabCalc[[#This Row],[M]]+TabCalc[[#This Row],[L_Bp]])),0)/TabCalc[[#This Row],[Scale]]</f>
        <v>3571.4285714285706</v>
      </c>
      <c r="CT4" s="436">
        <f ca="1">TabCalc[[#This Row],[ntoSell]]*TabCalc[[#This Row],[M]]</f>
        <v>55892.85714285713</v>
      </c>
      <c r="CU4" s="428">
        <f ca="1">IF(TabCalc[[#This Row],[M]]-TabCalc[[#This Row],[A]]&lt;=0,"",INT(DesiredSaleGain/(TabCalc[[#This Row],[M]]-IF(TabCalc[[#This Row],[E]]&gt;0,0,TabCalc[[#This Row],[A]]))))</f>
        <v>1938</v>
      </c>
      <c r="CV4" s="359">
        <f ca="1">IFERROR(TabCalc[[#This Row],[NME]]*TabCalc[[#This Row],[M]],"")</f>
        <v>30329.7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15478.495418000008</v>
      </c>
      <c r="CX4" s="99">
        <f ca="1">IFERROR((TabCalc[[#This Row],[M]]+TabCalc[[#This Row],[L_Bp]])/ABS(TabCalc[[#This Row],[L_Bp]])/(TODAY()-TabCalc[[#This Row],[L_Bdate]])*360,"")</f>
        <v>0.62049861495844894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400920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51.4</v>
      </c>
      <c r="M5" s="799">
        <f ca="1">[1]!RTData[[#This Row],[Change%]]</f>
        <v>3.9060000000000002E-3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-0.20924675961949521</v>
      </c>
      <c r="T5" s="1059">
        <f ca="1">IFERROR(SUMPRODUCT(DataShift!F1492:Z1492,DataShift!F700:Z700)/SQRT(SUMPRODUCT(DataShift!F1492:Z1492,DataShift!F1492:Z1492)*SUMPRODUCT(DataShift!F700:Z700,DataShift!F700:Z700)),0)</f>
        <v>0.2519423059094405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1940.1711930000001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2594.9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121.99999999999989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1997.9999999999989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14040</v>
      </c>
      <c r="AN5" s="357">
        <f ca="1">_xlfn.LET(_xlpm.MVToday,DataShift!AV502,         _xlpm.MVY,DataShift!AU502,        _xlpm.MVYY, DataShift!AT502,                                IF(_xlpm.MVToday=_xlpm.MVY,_xlpm.MVY-_xlpm.MVYY,_xlpm.MVToday-_xlpm.MVY))</f>
        <v>1560</v>
      </c>
      <c r="AO5" s="357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-3120</v>
      </c>
      <c r="AP5" s="1192">
        <f ca="1">TabCalc[[#This Row],[Y]]/TabCalc[[#This Row],[M]]</f>
        <v>1.8494163424124515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-17.032965437352289</v>
      </c>
      <c r="AV5" s="91">
        <f t="shared" ca="1" si="1"/>
        <v>0</v>
      </c>
      <c r="AW5" s="99">
        <f ca="1">[1]!RTData[[#This Row],[V/VA]]</f>
        <v>0.61019444274059986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0.61019444274059986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43833.692999999999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239153.693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76498.964192999993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69.04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45912.649582835154</v>
      </c>
      <c r="BQ5" s="189">
        <f ca="1">(TabCalc[[#This Row],[ValueBegin]]+(TabCalc[[#This Row],[M]]-TabCalc[[#This Row],[A]])*TabCalc[[#This Row],[NAfter]])*TabCalc[[#This Row],[Scale]]</f>
        <v>13898.708123000002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1551637.1193000001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8196.7213114754177</v>
      </c>
      <c r="CR5" s="435">
        <f ca="1">IF(TabCalc[[#This Row],[ntoBuy]]*TabCalc[[#This Row],[M]]&lt;=0,0,TabCalc[[#This Row],[ntoBuy]]*TabCalc[[#This Row],[M]])</f>
        <v>421311.47540983645</v>
      </c>
      <c r="CS5" s="435">
        <f ca="1">IF(TabCalc[[#This Row],[M]]&gt;ABS(TabCalc[[#This Row],[L_Bp]]),MIN(TabCalc[[#This Row],[NAfter]],DesiredSaleGain/(TabCalc[[#This Row],[M]]+TabCalc[[#This Row],[L_Bp]])),0)/TabCalc[[#This Row],[Scale]]</f>
        <v>50021.359120344379</v>
      </c>
      <c r="CT5" s="436">
        <f ca="1">TabCalc[[#This Row],[ntoSell]]*TabCalc[[#This Row],[M]]</f>
        <v>2571097.858785701</v>
      </c>
      <c r="CU5" s="428">
        <f ca="1">IF(TabCalc[[#This Row],[M]]-TabCalc[[#This Row],[A]]&lt;=0,"",INT(DesiredSaleGain/(TabCalc[[#This Row],[M]]-IF(TabCalc[[#This Row],[E]]&gt;0,0,TabCalc[[#This Row],[A]]))))</f>
        <v>2513</v>
      </c>
      <c r="CV5" s="359">
        <f ca="1">IFERROR(TabCalc[[#This Row],[NME]]*TabCalc[[#This Row],[M]],"")</f>
        <v>129168.2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15516.371193000001</v>
      </c>
      <c r="CX5" s="99">
        <f ca="1">IFERROR((TabCalc[[#This Row],[M]]+TabCalc[[#This Row],[L_Bp]])/ABS(TabCalc[[#This Row],[L_Bp]])/(TODAY()-TabCalc[[#This Row],[L_Bdate]])*360,"")</f>
        <v>0.50529318229344988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2783430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228.15</v>
      </c>
      <c r="M6" s="799">
        <f ca="1">[1]!RTData[[#This Row],[Change%]]</f>
        <v>-7.8279999999999999E-3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0.38105130333111059</v>
      </c>
      <c r="T6" s="1059">
        <f ca="1">IFERROR(SUMPRODUCT(DataShift!F1493:Z1493,DataShift!F701:Z701)/SQRT(SUMPRODUCT(DataShift!F1493:Z1493,DataShift!F1493:Z1493)*SUMPRODUCT(DataShift!F701:Z701,DataShift!F701:Z701)),0)</f>
        <v>7.1562969065063875E-2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26259.999999999993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7585.0000000000082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3045.0000000000018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-2570.0000000000073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-26840</v>
      </c>
      <c r="AN6" s="357">
        <f ca="1">_xlfn.LET(_xlpm.MVToday,DataShift!AV503,         _xlpm.MVY,DataShift!AU503,        _xlpm.MVYY, DataShift!AT503,                                IF(_xlpm.MVToday=_xlpm.MVY,_xlpm.MVY-_xlpm.MVYY,_xlpm.MVToday-_xlpm.MVY))</f>
        <v>-24339</v>
      </c>
      <c r="AO6" s="357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2">
        <f ca="1">TabCalc[[#This Row],[Y]]/TabCalc[[#This Row],[M]]</f>
        <v>1.153540784571554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" s="91">
        <f t="shared" ca="1" si="1"/>
        <v>0</v>
      </c>
      <c r="AW6" s="99">
        <f ca="1">[1]!RTData[[#This Row],[V/VA]]</f>
        <v>1.0710485466714732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1.0710485466714732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764800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1723030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776762.78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271.71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45912.856605867972</v>
      </c>
      <c r="BQ6" s="189">
        <f ca="1">(TabCalc[[#This Row],[ValueBegin]]+(TabCalc[[#This Row],[M]]-TabCalc[[#This Row],[A]])*TabCalc[[#This Row],[NAfter]])*TabCalc[[#This Row],[Scale]]</f>
        <v>-750368.21999999962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310031.78000000038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821.01806239737232</v>
      </c>
      <c r="CR6" s="435">
        <f ca="1">IF(TabCalc[[#This Row],[ntoBuy]]*TabCalc[[#This Row],[M]]&lt;=0,0,TabCalc[[#This Row],[ntoBuy]]*TabCalc[[#This Row],[M]])</f>
        <v>187315.27093596049</v>
      </c>
      <c r="CS6" s="435">
        <f ca="1">IF(TabCalc[[#This Row],[M]]&gt;ABS(TabCalc[[#This Row],[L_Bp]]),MIN(TabCalc[[#This Row],[NAfter]],DesiredSaleGain/(TabCalc[[#This Row],[M]]+TabCalc[[#This Row],[L_Bp]])),0)/TabCalc[[#This Row],[Scale]]</f>
        <v>380.80731150038093</v>
      </c>
      <c r="CT6" s="436">
        <f ca="1">TabCalc[[#This Row],[ntoSell]]*TabCalc[[#This Row],[M]]</f>
        <v>86881.188118811915</v>
      </c>
      <c r="CU6" s="428">
        <f ca="1">IF(TabCalc[[#This Row],[M]]-TabCalc[[#This Row],[A]]&lt;=0,"",INT(DesiredSaleGain/(TabCalc[[#This Row],[M]]-IF(TabCalc[[#This Row],[E]]&gt;0,0,TabCalc[[#This Row],[A]]))))</f>
        <v>196</v>
      </c>
      <c r="CV6" s="359">
        <f ca="1">IFERROR(TabCalc[[#This Row],[NME]]*TabCalc[[#This Row],[M]],"")</f>
        <v>44717.4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310031.78000000038</v>
      </c>
      <c r="CX6" s="99">
        <f ca="1">IFERROR((TabCalc[[#This Row],[M]]+TabCalc[[#This Row],[L_Bp]])/ABS(TabCalc[[#This Row],[L_Bp]])/(TODAY()-TabCalc[[#This Row],[L_Bdate]])*360,"")</f>
        <v>0.52340646052858852</v>
      </c>
      <c r="CY6" s="333">
        <f ca="1">MEDIAN(DataShift!F701:Z701)</f>
        <v>-8.0320000000000001E-4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2251700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0.89</v>
      </c>
      <c r="M7" s="799">
        <f ca="1">[1]!RTData[[#This Row],[Change%]]</f>
        <v>2.2520000000000001E-3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-0.75849625481936001</v>
      </c>
      <c r="T7" s="1059">
        <f ca="1">IFERROR(SUMPRODUCT(DataShift!F1494:Z1494,DataShift!F702:Z702)/SQRT(SUMPRODUCT(DataShift!F1494:Z1494,DataShift!F1494:Z1494)*SUMPRODUCT(DataShift!F702:Z702,DataShift!F702:Z702)),0)</f>
        <v>-1.740082031064584E-2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-600.00000000000057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5060</v>
      </c>
      <c r="AN7" s="357">
        <f ca="1">_xlfn.LET(_xlpm.MVToday,DataShift!AV504,         _xlpm.MVY,DataShift!AU504,        _xlpm.MVYY, DataShift!AT504,                                IF(_xlpm.MVToday=_xlpm.MVY,_xlpm.MVY-_xlpm.MVYY,_xlpm.MVToday-_xlpm.MVY))</f>
        <v>5060</v>
      </c>
      <c r="AO7" s="357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-50600</v>
      </c>
      <c r="AP7" s="1192">
        <f ca="1">TabCalc[[#This Row],[Y]]/TabCalc[[#This Row],[M]]</f>
        <v>1.7228426966292136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7" s="91">
        <f t="shared" ca="1" si="1"/>
        <v>0</v>
      </c>
      <c r="AW7" s="99">
        <f ca="1">[1]!RTData[[#This Row],[V/VA]]</f>
        <v>2.2413793103448276E-2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2.2413793103448276E-2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-679939.13876371691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-607003.63876371691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-700721.04126371676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45912.666666666664</v>
      </c>
      <c r="BQ7" s="189">
        <f ca="1">(TabCalc[[#This Row],[ValueBegin]]+(TabCalc[[#This Row],[M]]-TabCalc[[#This Row],[A]])*TabCalc[[#This Row],[NAfter]])*TabCalc[[#This Row],[Scale]]</f>
        <v>-3559424.6800274337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-700721.04126371688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-700721.04126371688</v>
      </c>
      <c r="CX7" s="99">
        <f ca="1">IFERROR((TabCalc[[#This Row],[M]]+TabCalc[[#This Row],[L_Bp]])/ABS(TabCalc[[#This Row],[L_Bp]])/(TODAY()-TabCalc[[#This Row],[L_Bdate]])*360,"")</f>
        <v>-8.6988039144617682E-2</v>
      </c>
      <c r="CY7" s="333">
        <f ca="1">MEDIAN(DataShift!F702:Z702)</f>
        <v>-8.4390000000000003E-3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3655939.9999999995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689.8</v>
      </c>
      <c r="M8" s="799">
        <f ca="1">[1]!RTData[[#This Row],[Change%]]</f>
        <v>5.5389999999999997E-3</v>
      </c>
      <c r="N8" s="1059">
        <v>0.61904761904761907</v>
      </c>
      <c r="O8" s="1059">
        <f>TabCalc[[#This Row],[Up20]]-1+TabCalc[[#This Row],[Up20]]</f>
        <v>0.23809523809523814</v>
      </c>
      <c r="P8" s="1059">
        <f>TabCalc[[#This Row],[Up20]]-TabCalc[[#This Row],[Up150]]</f>
        <v>0.11573636076947336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0.10188540681119072</v>
      </c>
      <c r="T8" s="1059">
        <f ca="1">IFERROR(SUMPRODUCT(DataShift!F1495:Z1495,DataShift!F703:Z703)/SQRT(SUMPRODUCT(DataShift!F1495:Z1495,DataShift!F1495:Z1495)*SUMPRODUCT(DataShift!F703:Z703,DataShift!F703:Z703)),0)</f>
        <v>0.4840492759106419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33799.999999999956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45250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-4519.9999999999818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-21799.999999999956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9539.9999999995343</v>
      </c>
      <c r="AN8" s="357">
        <f ca="1">_xlfn.LET(_xlpm.MVToday,DataShift!AV505,         _xlpm.MVY,DataShift!AU505,        _xlpm.MVYY, DataShift!AT505,                                IF(_xlpm.MVToday=_xlpm.MVY,_xlpm.MVY-_xlpm.MVYY,_xlpm.MVToday-_xlpm.MVY))</f>
        <v>20139.999999999534</v>
      </c>
      <c r="AO8" s="357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30739.999999999534</v>
      </c>
      <c r="AP8" s="1192">
        <f ca="1">TabCalc[[#This Row],[Y]]/TabCalc[[#This Row],[M]]</f>
        <v>1.0988692374601334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8" s="91">
        <f t="shared" ca="1" si="1"/>
        <v>0</v>
      </c>
      <c r="AW8" s="99">
        <f ca="1">[1]!RTData[[#This Row],[V/VA]]</f>
        <v>0.79148683855897939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0.79148683855897939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-103150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3207889.9999999995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-42402.490000000689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45912.666666666664</v>
      </c>
      <c r="BQ8" s="189">
        <f ca="1">(TabCalc[[#This Row],[ValueBegin]]+(TabCalc[[#This Row],[M]]-TabCalc[[#This Row],[A]])*TabCalc[[#This Row],[NAfter]])*TabCalc[[#This Row],[Scale]]</f>
        <v>-259969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188081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73.964497041420216</v>
      </c>
      <c r="CT8" s="436">
        <f ca="1">TabCalc[[#This Row],[ntoSell]]*TabCalc[[#This Row],[M]]</f>
        <v>51020.710059171659</v>
      </c>
      <c r="CU8" s="428">
        <f ca="1">IF(TabCalc[[#This Row],[M]]-TabCalc[[#This Row],[A]]&lt;=0,"",INT(DesiredSaleGain/(TabCalc[[#This Row],[M]]-IF(TabCalc[[#This Row],[E]]&gt;0,0,TabCalc[[#This Row],[A]]))))</f>
        <v>140</v>
      </c>
      <c r="CV8" s="359">
        <f ca="1">IFERROR(TabCalc[[#This Row],[NME]]*TabCalc[[#This Row],[M]],"")</f>
        <v>96572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188081</v>
      </c>
      <c r="CX8" s="99">
        <f ca="1">IFERROR((TabCalc[[#This Row],[M]]+TabCalc[[#This Row],[L_Bp]])/ABS(TabCalc[[#This Row],[L_Bp]])/(TODAY()-TabCalc[[#This Row],[L_Bdate]])*360,"")</f>
        <v>3.9112825458052014</v>
      </c>
      <c r="CY8" s="333">
        <f ca="1">MEDIAN(DataShift!F703:Z703)</f>
        <v>5.5389999999999997E-3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79560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79.56</v>
      </c>
      <c r="M9" s="799">
        <f ca="1">[1]!RTData[[#This Row],[Change%]]</f>
        <v>-1.8988999999999999E-2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0.71428571428571441</v>
      </c>
      <c r="T9" s="1059">
        <f ca="1">IFERROR(SUMPRODUCT(DataShift!F1496:Z1496,DataShift!F704:Z704)/SQRT(SUMPRODUCT(DataShift!F1496:Z1496,DataShift!F1496:Z1496)*SUMPRODUCT(DataShift!F704:Z704,DataShift!F704:Z704)),0)</f>
        <v>-0.38535000995356267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9719.9999999999982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1512.0000000000005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-99.999999999994316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-14039.999999999993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-1260</v>
      </c>
      <c r="AN9" s="357">
        <f ca="1">_xlfn.LET(_xlpm.MVToday,DataShift!AV506,         _xlpm.MVY,DataShift!AU506,        _xlpm.MVYY, DataShift!AT506,                                IF(_xlpm.MVToday=_xlpm.MVY,_xlpm.MVY-_xlpm.MVYY,_xlpm.MVToday-_xlpm.MVY))</f>
        <v>-1605</v>
      </c>
      <c r="AO9" s="357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2">
        <f ca="1">TabCalc[[#This Row],[Y]]/TabCalc[[#This Row],[M]]</f>
        <v>1.0969079939668174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-6.6009034996710014E-2</v>
      </c>
      <c r="AV9" s="91">
        <f t="shared" ca="1" si="1"/>
        <v>4000</v>
      </c>
      <c r="AW9" s="99">
        <f ca="1">[1]!RTData[[#This Row],[V/VA]]</f>
        <v>1.2773783583068079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1.2773783583068079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127250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-190990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144784.39999999997</v>
      </c>
      <c r="BJ9" s="173">
        <f ca="1">IF(        OR(      TabCalc[[#This Row],[GL]]&gt;ABS(TabCalc[[#This Row],[EfCost]])),             TabCalc[[#This Row],[GL]],     0)</f>
        <v>144784.39999999997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45912.855489224217</v>
      </c>
      <c r="BQ9" s="189">
        <f ca="1">(TabCalc[[#This Row],[ValueBegin]]+(TabCalc[[#This Row],[M]]-TabCalc[[#This Row],[A]])*TabCalc[[#This Row],[NAfter]])*TabCalc[[#This Row],[Scale]]</f>
        <v>-260830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9719.9999999999982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514.40329218107001</v>
      </c>
      <c r="CT9" s="436">
        <f ca="1">TabCalc[[#This Row],[ntoSell]]*TabCalc[[#This Row],[M]]</f>
        <v>40925.925925925934</v>
      </c>
      <c r="CU9" s="428">
        <f ca="1">IF(TabCalc[[#This Row],[M]]-TabCalc[[#This Row],[A]]&lt;=0,"",INT(DesiredSaleGain/(TabCalc[[#This Row],[M]]-IF(TabCalc[[#This Row],[E]]&gt;0,0,TabCalc[[#This Row],[A]]))))</f>
        <v>514</v>
      </c>
      <c r="CV9" s="359">
        <f ca="1">IFERROR(TabCalc[[#This Row],[NME]]*TabCalc[[#This Row],[M]],"")</f>
        <v>40893.840000000004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9719.9999999999982</v>
      </c>
      <c r="CX9" s="99">
        <f ca="1">IFERROR((TabCalc[[#This Row],[M]]+TabCalc[[#This Row],[L_Bp]])/ABS(TabCalc[[#This Row],[L_Bp]])/(TODAY()-TabCalc[[#This Row],[L_Bdate]])*360,"")</f>
        <v>0.59646539027982315</v>
      </c>
      <c r="CY9" s="333">
        <f ca="1">MEDIAN(DataShift!F704:Z704)</f>
        <v>-1.1250000000000001E-3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53819.999999999993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2.0699999999999998</v>
      </c>
      <c r="M10" s="799">
        <f ca="1">[1]!RTData[[#This Row],[Change%]]</f>
        <v>9.7560000000000008E-3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-0.55560060491387953</v>
      </c>
      <c r="T10" s="1059">
        <f ca="1">IFERROR(SUMPRODUCT(DataShift!F1497:Z1497,DataShift!F705:Z705)/SQRT(SUMPRODUCT(DataShift!F1497:Z1497,DataShift!F1497:Z1497)*SUMPRODUCT(DataShift!F705:Z705,DataShift!F705:Z705)),0)</f>
        <v>-6.2735903732494868E-3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-4680.0000000000018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2399.9999999999977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-1099.9999999999989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3450.585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1299.9999999999927</v>
      </c>
      <c r="AN10" s="357">
        <f ca="1">_xlfn.LET(_xlpm.MVToday,DataShift!AV507,         _xlpm.MVY,DataShift!AU507,        _xlpm.MVYY, DataShift!AT507,                                IF(_xlpm.MVToday=_xlpm.MVY,_xlpm.MVY-_xlpm.MVYY,_xlpm.MVToday-_xlpm.MVY))</f>
        <v>909.99999999998545</v>
      </c>
      <c r="AO10" s="357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2">
        <f ca="1">TabCalc[[#This Row],[Y]]/TabCalc[[#This Row],[M]]</f>
        <v>1.1187584541062803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-3.0990431438031058E-3</v>
      </c>
      <c r="AV10" s="91">
        <f t="shared" ca="1" si="1"/>
        <v>0</v>
      </c>
      <c r="AW10" s="99">
        <f ca="1">[1]!RTData[[#This Row],[V/VA]]</f>
        <v>1.0067384855147652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1.0067384855147652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-6200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26919.999999999993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2035.5849999999846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45912.856385832813</v>
      </c>
      <c r="BQ10" s="189">
        <f ca="1">(TabCalc[[#This Row],[ValueBegin]]+(TabCalc[[#This Row],[M]]-TabCalc[[#This Row],[A]])*TabCalc[[#This Row],[NAfter]])*TabCalc[[#This Row],[Scale]]</f>
        <v>-27180.000000000007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-280.00000000000824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-280.00000000000824</v>
      </c>
      <c r="CX10" s="99">
        <f ca="1">IFERROR((TabCalc[[#This Row],[M]]+TabCalc[[#This Row],[L_Bp]])/ABS(TabCalc[[#This Row],[L_Bp]])/(TODAY()-TabCalc[[#This Row],[L_Bdate]])*360,"")</f>
        <v>-0.39728353140916822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37250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2.98</v>
      </c>
      <c r="M11" s="799">
        <f ca="1">[1]!RTData[[#This Row],[Change%]]</f>
        <v>1.0168999999999999E-2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-0.56746800233012307</v>
      </c>
      <c r="T11" s="1059">
        <f ca="1">IFERROR(SUMPRODUCT(DataShift!F1498:Z1498,DataShift!F706:Z706)/SQRT(SUMPRODUCT(DataShift!F1498:Z1498,DataShift!F1498:Z1498)*SUMPRODUCT(DataShift!F706:Z706,DataShift!F706:Z706)),0)</f>
        <v>-0.1351643196411608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-53,355 = $ -158,998</v>
      </c>
      <c r="W11" s="571">
        <f ca="1">MIN(TabCalc[[#This Row],[L_Bn]],TabCalc[[#This Row],[NAfter]])*(TabCalc[[#This Row],[M]]+TabCalc[[#This Row],[L_Bp]])*TabCalc[[#This Row],[Scale]]</f>
        <v>-121744.99999999999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-250</v>
      </c>
      <c r="AN11" s="357">
        <f ca="1">_xlfn.LET(_xlpm.MVToday,DataShift!AV508,         _xlpm.MVY,DataShift!AU508,        _xlpm.MVYY, DataShift!AT508,                                IF(_xlpm.MVToday=_xlpm.MVY,_xlpm.MVY-_xlpm.MVYY,_xlpm.MVToday-_xlpm.MVY))</f>
        <v>125</v>
      </c>
      <c r="AO11" s="357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2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1.0341119817313655E-2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1.0341119817313655E-2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-58848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-66298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-121745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45912.856250693752</v>
      </c>
      <c r="BQ11" s="189">
        <f ca="1">(TabCalc[[#This Row],[ValueBegin]]+(TabCalc[[#This Row],[M]]-TabCalc[[#This Row],[A]])*TabCalc[[#This Row],[NAfter]])*TabCalc[[#This Row],[Scale]]</f>
        <v>-225293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-121744.99999999999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-121744.99999999999</v>
      </c>
      <c r="CX11" s="99">
        <f ca="1">IFERROR((TabCalc[[#This Row],[M]]+TabCalc[[#This Row],[L_Bp]])/ABS(TabCalc[[#This Row],[L_Bp]])/(TODAY()-TabCalc[[#This Row],[L_Bdate]])*360,"")</f>
        <v>-5.135203522460776E-2</v>
      </c>
      <c r="CY11" s="333">
        <f ca="1">MEDIAN(DataShift!F706:Z706)</f>
        <v>-3.2569999999999999E-3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497.40000000000003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99.48</v>
      </c>
      <c r="M12" s="799">
        <f ca="1">[1]!RTData[[#This Row],[Change%]]</f>
        <v>6.6790000000000009E-3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-0.12015028183722215</v>
      </c>
      <c r="T12" s="1059">
        <f ca="1">IFERROR(SUMPRODUCT(DataShift!F1499:Z1499,DataShift!F707:Z707)/SQRT(SUMPRODUCT(DataShift!F1499:Z1499,DataShift!F1499:Z1499)*SUMPRODUCT(DataShift!F707:Z707,DataShift!F707:Z707)),0)</f>
        <v>-0.52251745327385923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183.65000000000003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131.5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-199.97500000000036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-8405.0000000000018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3.5000000000000568</v>
      </c>
      <c r="AN12" s="357">
        <f ca="1">_xlfn.LET(_xlpm.MVToday,DataShift!AV509,         _xlpm.MVY,DataShift!AU509,        _xlpm.MVYY, DataShift!AT509,                                IF(_xlpm.MVToday=_xlpm.MVY,_xlpm.MVY-_xlpm.MVYY,_xlpm.MVToday-_xlpm.MVY))</f>
        <v>3.5250000000000341</v>
      </c>
      <c r="AO12" s="357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2">
        <f ca="1">TabCalc[[#This Row],[Y]]/TabCalc[[#This Row],[M]]</f>
        <v>0.99969843184559715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2.7291235692572788E-9</v>
      </c>
      <c r="AV12" s="91">
        <f t="shared" ca="1" si="1"/>
        <v>95</v>
      </c>
      <c r="AW12" s="99">
        <f ca="1">[1]!RTData[[#This Row],[V/VA]]</f>
        <v>0.69151353119457981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0.69151353119457981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5041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-4409.6000000000004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40496.765000000007</v>
      </c>
      <c r="BJ12" s="173">
        <f ca="1">IF(        OR(      TabCalc[[#This Row],[GL]]&gt;ABS(TabCalc[[#This Row],[EfCost]])),             TabCalc[[#This Row],[GL]],     0)</f>
        <v>40496.765000000007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45912.855562210156</v>
      </c>
      <c r="BQ12" s="189">
        <f ca="1">(TabCalc[[#This Row],[ValueBegin]]+(TabCalc[[#This Row],[M]]-TabCalc[[#This Row],[A]])*TabCalc[[#This Row],[NAfter]])*TabCalc[[#This Row],[Scale]]</f>
        <v>-4723.3500000000004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183.65000000000003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497.40000000000003</v>
      </c>
      <c r="CU12" s="428">
        <f ca="1">IF(TabCalc[[#This Row],[M]]-TabCalc[[#This Row],[A]]&lt;=0,"",INT(DesiredSaleGain/(TabCalc[[#This Row],[M]]-IF(TabCalc[[#This Row],[E]]&gt;0,0,TabCalc[[#This Row],[A]]))))</f>
        <v>136</v>
      </c>
      <c r="CV12" s="359">
        <f ca="1">IFERROR(TabCalc[[#This Row],[NME]]*TabCalc[[#This Row],[M]],"")</f>
        <v>13529.28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183.65000000000003</v>
      </c>
      <c r="CX12" s="99">
        <f ca="1">IFERROR((TabCalc[[#This Row],[M]]+TabCalc[[#This Row],[L_Bp]])/ABS(TabCalc[[#This Row],[L_Bp]])/(TODAY()-TabCalc[[#This Row],[L_Bdate]])*360,"")</f>
        <v>1.4237967050716058</v>
      </c>
      <c r="CY12" s="333">
        <f ca="1">MEDIAN(DataShift!F707:Z707)</f>
        <v>1.2389999999999999E-3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66530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66.53</v>
      </c>
      <c r="M13" s="799">
        <f ca="1">[1]!RTData[[#This Row],[Change%]]</f>
        <v>-1.7136999999999999E-2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-0.44001934193464226</v>
      </c>
      <c r="T13" s="1059">
        <f ca="1">IFERROR(SUMPRODUCT(DataShift!F1500:Z1500,DataShift!F708:Z708)/SQRT(SUMPRODUCT(DataShift!F1500:Z1500,DataShift!F1500:Z1500)*SUMPRODUCT(DataShift!F708:Z708,DataShift!F708:Z708)),0)</f>
        <v>0.18336100224974061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7594.9999999999991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7405.0000000000009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1789.999999999992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-2178.0000000000027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-350</v>
      </c>
      <c r="AN13" s="357">
        <f ca="1">_xlfn.LET(_xlpm.MVToday,DataShift!AV510,         _xlpm.MVY,DataShift!AU510,        _xlpm.MVYY, DataShift!AT510,                                IF(_xlpm.MVToday=_xlpm.MVY,_xlpm.MVY-_xlpm.MVYY,_xlpm.MVToday-_xlpm.MVY))</f>
        <v>-1245</v>
      </c>
      <c r="AO13" s="357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2">
        <f ca="1">TabCalc[[#This Row],[Y]]/TabCalc[[#This Row],[M]]</f>
        <v>1.1395574928603638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-0.15868678401969569</v>
      </c>
      <c r="AV13" s="91">
        <f t="shared" ca="1" si="1"/>
        <v>4000</v>
      </c>
      <c r="AW13" s="99">
        <f ca="1">[1]!RTData[[#This Row],[V/VA]]</f>
        <v>0.88546777090552331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0.88546777090552331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133799.99999999997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-132320.00000000003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125028.84999999996</v>
      </c>
      <c r="BJ13" s="173">
        <f ca="1">IF(        OR(      TabCalc[[#This Row],[GL]]&gt;ABS(TabCalc[[#This Row],[EfCost]])),             TabCalc[[#This Row],[GL]],     0)</f>
        <v>125028.84999999996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45912.855756203127</v>
      </c>
      <c r="BQ13" s="189">
        <f ca="1">(TabCalc[[#This Row],[ValueBegin]]+(TabCalc[[#This Row],[M]]-TabCalc[[#This Row],[A]])*TabCalc[[#This Row],[NAfter]])*TabCalc[[#This Row],[Scale]]</f>
        <v>-191255.00000000003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7594.9999999999991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2793.2960893854874</v>
      </c>
      <c r="CR13" s="435">
        <f ca="1">IF(TabCalc[[#This Row],[ntoBuy]]*TabCalc[[#This Row],[M]]&lt;=0,0,TabCalc[[#This Row],[ntoBuy]]*TabCalc[[#This Row],[M]])</f>
        <v>185837.98882681649</v>
      </c>
      <c r="CS13" s="435">
        <f ca="1">IF(TabCalc[[#This Row],[M]]&gt;ABS(TabCalc[[#This Row],[L_Bp]]),MIN(TabCalc[[#This Row],[NAfter]],DesiredSaleGain/(TabCalc[[#This Row],[M]]+TabCalc[[#This Row],[L_Bp]])),0)/TabCalc[[#This Row],[Scale]]</f>
        <v>658.32784726793955</v>
      </c>
      <c r="CT13" s="436">
        <f ca="1">TabCalc[[#This Row],[ntoSell]]*TabCalc[[#This Row],[M]]</f>
        <v>43798.551678736017</v>
      </c>
      <c r="CU13" s="428">
        <f ca="1">IF(TabCalc[[#This Row],[M]]-TabCalc[[#This Row],[A]]&lt;=0,"",INT(DesiredSaleGain/(TabCalc[[#This Row],[M]]-IF(TabCalc[[#This Row],[E]]&gt;0,0,TabCalc[[#This Row],[A]]))))</f>
        <v>658</v>
      </c>
      <c r="CV13" s="359">
        <f ca="1">IFERROR(TabCalc[[#This Row],[NME]]*TabCalc[[#This Row],[M]],"")</f>
        <v>43776.74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7594.9999999999991</v>
      </c>
      <c r="CX13" s="99">
        <f ca="1">IFERROR((TabCalc[[#This Row],[M]]+TabCalc[[#This Row],[L_Bp]])/ABS(TabCalc[[#This Row],[L_Bp]])/(TODAY()-TabCalc[[#This Row],[L_Bdate]])*360,"")</f>
        <v>0.34882319058016631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18747.5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74.989999999999995</v>
      </c>
      <c r="M14" s="799">
        <f ca="1">[1]!RTData[[#This Row],[Change%]]</f>
        <v>4.2859999999999999E-3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0.67206558805603578</v>
      </c>
      <c r="T14" s="1059">
        <f ca="1">IFERROR(SUMPRODUCT(DataShift!F1501:Z1501,DataShift!F709:Z709)/SQRT(SUMPRODUCT(DataShift!F1501:Z1501,DataShift!F1501:Z1501)*SUMPRODUCT(DataShift!F709:Z709,DataShift!F709:Z709)),0)</f>
        <v>7.9655529118505417E-2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4733.4524999999985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7187.4999999999982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-9191.2499999999964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-15840.000000000004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142.5</v>
      </c>
      <c r="AN14" s="357">
        <f ca="1">_xlfn.LET(_xlpm.MVToday,DataShift!AV511,         _xlpm.MVY,DataShift!AU511,        _xlpm.MVYY, DataShift!AT511,                                IF(_xlpm.MVToday=_xlpm.MVY,_xlpm.MVY-_xlpm.MVYY,_xlpm.MVToday-_xlpm.MVY))</f>
        <v>78.75</v>
      </c>
      <c r="AO14" s="357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2">
        <f ca="1">TabCalc[[#This Row],[Y]]/TabCalc[[#This Row],[M]]</f>
        <v>1.0944459261234833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-5.7724307743860545E-2</v>
      </c>
      <c r="AV14" s="91">
        <f t="shared" ca="1" si="1"/>
        <v>1750</v>
      </c>
      <c r="AW14" s="99">
        <f ca="1">[1]!RTData[[#This Row],[V/VA]]</f>
        <v>0.93561724412236513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0.93561724412236513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-66640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-197872.5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-44373.630000000005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45912.855159050778</v>
      </c>
      <c r="BQ14" s="189">
        <f ca="1">(TabCalc[[#This Row],[ValueBegin]]+(TabCalc[[#This Row],[M]]-TabCalc[[#This Row],[A]])*TabCalc[[#This Row],[NAfter]])*TabCalc[[#This Row],[Scale]]</f>
        <v>-211886.54750000002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4733.4524999999985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18747.5</v>
      </c>
      <c r="CU14" s="428">
        <f ca="1">IF(TabCalc[[#This Row],[M]]-TabCalc[[#This Row],[A]]&lt;=0,"",INT(DesiredSaleGain/(TabCalc[[#This Row],[M]]-IF(TabCalc[[#This Row],[E]]&gt;0,0,TabCalc[[#This Row],[A]]))))</f>
        <v>264</v>
      </c>
      <c r="CV14" s="359">
        <f ca="1">IFERROR(TabCalc[[#This Row],[NME]]*TabCalc[[#This Row],[M]],"")</f>
        <v>19797.359999999997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4733.4524999999985</v>
      </c>
      <c r="CX14" s="99">
        <f ca="1">IFERROR((TabCalc[[#This Row],[M]]+TabCalc[[#This Row],[L_Bp]])/ABS(TabCalc[[#This Row],[L_Bp]])/(TODAY()-TabCalc[[#This Row],[L_Bdate]])*360,"")</f>
        <v>0.53331290395733644</v>
      </c>
      <c r="CY14" s="333">
        <f ca="1">MEDIAN(DataShift!F709:Z709)</f>
        <v>5.0460000000000001E-3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222500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2.2250000000000001</v>
      </c>
      <c r="M15" s="799">
        <f ca="1">[1]!RTData[[#This Row],[Change%]]</f>
        <v>-1.1110999999999999E-2</v>
      </c>
      <c r="N15" s="1059">
        <v>0.47619047619047616</v>
      </c>
      <c r="O15" s="1059">
        <f>TabCalc[[#This Row],[Up20]]-1+TabCalc[[#This Row],[Up20]]</f>
        <v>-4.7619047619047672E-2</v>
      </c>
      <c r="P15" s="1059">
        <f>TabCalc[[#This Row],[Up20]]-TabCalc[[#This Row],[Up150]]</f>
        <v>7.221696625670132E-2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-0.69449163367031319</v>
      </c>
      <c r="T15" s="1059">
        <f ca="1">IFERROR(SUMPRODUCT(DataShift!F1502:Z1502,DataShift!F710:Z710)/SQRT(SUMPRODUCT(DataShift!F1502:Z1502,DataShift!F1502:Z1502)*SUMPRODUCT(DataShift!F710:Z710,DataShift!F710:Z710)),0)</f>
        <v>-0.13445863564060045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6300.0000000000036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-21525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36224.999999999993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25900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-4500</v>
      </c>
      <c r="AN15" s="357">
        <f ca="1">_xlfn.LET(_xlpm.MVToday,DataShift!AV512,         _xlpm.MVY,DataShift!AU512,        _xlpm.MVYY, DataShift!AT512,                                IF(_xlpm.MVToday=_xlpm.MVY,_xlpm.MVY-_xlpm.MVYY,_xlpm.MVToday-_xlpm.MVY))</f>
        <v>-2500</v>
      </c>
      <c r="AO15" s="357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2">
        <f ca="1">TabCalc[[#This Row],[Y]]/TabCalc[[#This Row],[M]]</f>
        <v>1.4606741573033708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15" s="91">
        <f t="shared" ca="1" si="1"/>
        <v>0</v>
      </c>
      <c r="AW15" s="99">
        <f ca="1">[1]!RTData[[#This Row],[V/VA]]</f>
        <v>0.41372923122963995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0.41372923122963995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-325395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-191895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-337014.5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6.84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45912.85209288125</v>
      </c>
      <c r="BQ15" s="189">
        <f ca="1">(TabCalc[[#This Row],[ValueBegin]]+(TabCalc[[#This Row],[M]]-TabCalc[[#This Row],[A]])*TabCalc[[#This Row],[NAfter]])*TabCalc[[#This Row],[Scale]]</f>
        <v>-505381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-90986.000000000015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2070.3933747412011</v>
      </c>
      <c r="CR15" s="435">
        <f ca="1">IF(TabCalc[[#This Row],[ntoBuy]]*TabCalc[[#This Row],[M]]&lt;=0,0,TabCalc[[#This Row],[ntoBuy]]*TabCalc[[#This Row],[M]])</f>
        <v>4606.625258799173</v>
      </c>
      <c r="CS15" s="435">
        <f ca="1">IF(TabCalc[[#This Row],[M]]&gt;ABS(TabCalc[[#This Row],[L_Bp]]),MIN(TabCalc[[#This Row],[NAfter]],DesiredSaleGain/(TabCalc[[#This Row],[M]]+TabCalc[[#This Row],[L_Bp]])),0)/TabCalc[[#This Row],[Scale]]</f>
        <v>15873.015873015864</v>
      </c>
      <c r="CT15" s="436">
        <f ca="1">TabCalc[[#This Row],[ntoSell]]*TabCalc[[#This Row],[M]]</f>
        <v>35317.460317460296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-90986.000000000015</v>
      </c>
      <c r="CX15" s="99">
        <f ca="1">IFERROR((TabCalc[[#This Row],[M]]+TabCalc[[#This Row],[L_Bp]])/ABS(TabCalc[[#This Row],[L_Bp]])/(TODAY()-TabCalc[[#This Row],[L_Bdate]])*360,"")</f>
        <v>0.48665350613681257</v>
      </c>
      <c r="CY15" s="333">
        <f ca="1">MEDIAN(DataShift!F710:Z710)</f>
        <v>-1.6055E-2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115970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115.97</v>
      </c>
      <c r="M16" s="799">
        <f ca="1">[1]!RTData[[#This Row],[Change%]]</f>
        <v>-9.4809999999999998E-3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-0.27625982783491193</v>
      </c>
      <c r="T16" s="1059">
        <f ca="1">IFERROR(SUMPRODUCT(DataShift!F1503:Z1503,DataShift!F711:Z711)/SQRT(SUMPRODUCT(DataShift!F1503:Z1503,DataShift!F1503:Z1503)*SUMPRODUCT(DataShift!F711:Z711,DataShift!F711:Z711)),0)</f>
        <v>-0.14002940973088324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58.000000000004093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5351.9999999999982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2727.9999999999973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572.00000000000273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-290</v>
      </c>
      <c r="AN16" s="357">
        <f ca="1">_xlfn.LET(_xlpm.MVToday,DataShift!AV513,         _xlpm.MVY,DataShift!AU513,        _xlpm.MVYY, DataShift!AT513,                                IF(_xlpm.MVToday=_xlpm.MVY,_xlpm.MVY-_xlpm.MVYY,_xlpm.MVToday-_xlpm.MVY))</f>
        <v>-1175</v>
      </c>
      <c r="AO16" s="357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2">
        <f ca="1">TabCalc[[#This Row],[Y]]/TabCalc[[#This Row],[M]]</f>
        <v>1.1401736656031733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16" s="91">
        <f t="shared" ca="1" si="1"/>
        <v>0</v>
      </c>
      <c r="AW16" s="99">
        <f ca="1">[1]!RTData[[#This Row],[V/VA]]</f>
        <v>1.0857649478121689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1.0857649478121689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-19160.490000000005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56220.009999999995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24272.487999999954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151.34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45912.855752546093</v>
      </c>
      <c r="BQ16" s="189">
        <f ca="1">(TabCalc[[#This Row],[ValueBegin]]+(TabCalc[[#This Row],[M]]-TabCalc[[#This Row],[A]])*TabCalc[[#This Row],[NAfter]])*TabCalc[[#This Row],[Scale]]</f>
        <v>-53059.990000000005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6689.9999999999982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1466.2756598240485</v>
      </c>
      <c r="CR16" s="435">
        <f ca="1">IF(TabCalc[[#This Row],[ntoBuy]]*TabCalc[[#This Row],[M]]&lt;=0,0,TabCalc[[#This Row],[ntoBuy]]*TabCalc[[#This Row],[M]])</f>
        <v>170043.98826979491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115970</v>
      </c>
      <c r="CU16" s="428">
        <f ca="1">IF(TabCalc[[#This Row],[M]]-TabCalc[[#This Row],[A]]&lt;=0,"",INT(DesiredSaleGain/(TabCalc[[#This Row],[M]]-IF(TabCalc[[#This Row],[E]]&gt;0,0,TabCalc[[#This Row],[A]]))))</f>
        <v>747</v>
      </c>
      <c r="CV16" s="359">
        <f ca="1">IFERROR(TabCalc[[#This Row],[NME]]*TabCalc[[#This Row],[M]],"")</f>
        <v>86629.59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6689.9999999999982</v>
      </c>
      <c r="CX16" s="99">
        <f ca="1">IFERROR((TabCalc[[#This Row],[M]]+TabCalc[[#This Row],[L_Bp]])/ABS(TabCalc[[#This Row],[L_Bp]])/(TODAY()-TabCalc[[#This Row],[L_Bdate]])*360,"")</f>
        <v>0.11259949524364996</v>
      </c>
      <c r="CY16" s="333">
        <f ca="1">MEDIAN(DataShift!F711:Z711)</f>
        <v>-3.4749999999999998E-3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165360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27.56</v>
      </c>
      <c r="M17" s="799">
        <f ca="1">[1]!RTData[[#This Row],[Change%]]</f>
        <v>9.894E-3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0.10392839772279915</v>
      </c>
      <c r="T17" s="1059">
        <f ca="1">IFERROR(SUMPRODUCT(DataShift!F1504:Z1504,DataShift!F712:Z712)/SQRT(SUMPRODUCT(DataShift!F1504:Z1504,DataShift!F1504:Z1504)*SUMPRODUCT(DataShift!F712:Z712,DataShift!F712:Z712)),0)</f>
        <v>0.14548890581546567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1839.9999999999964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-1695.0000000000002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5564.9999999999991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12450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1140</v>
      </c>
      <c r="AN17" s="357">
        <f ca="1">_xlfn.LET(_xlpm.MVToday,DataShift!AV514,         _xlpm.MVY,DataShift!AU514,        _xlpm.MVYY, DataShift!AT514,                                IF(_xlpm.MVToday=_xlpm.MVY,_xlpm.MVY-_xlpm.MVYY,_xlpm.MVToday-_xlpm.MVY))</f>
        <v>1620</v>
      </c>
      <c r="AO17" s="357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-420</v>
      </c>
      <c r="AP17" s="1192">
        <f ca="1">TabCalc[[#This Row],[Y]]/TabCalc[[#This Row],[M]]</f>
        <v>1.2902757619738754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17" s="91">
        <f t="shared" ca="1" si="1"/>
        <v>0</v>
      </c>
      <c r="AW17" s="99">
        <f ca="1">[1]!RTData[[#This Row],[V/VA]]</f>
        <v>0.84064482926332695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0.84064482926332695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6640</v>
      </c>
      <c r="BB17" s="357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165110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1232.4079999999376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40.18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45912.666666666664</v>
      </c>
      <c r="BQ17" s="189">
        <f ca="1">(TabCalc[[#This Row],[ValueBegin]]+(TabCalc[[#This Row],[M]]-TabCalc[[#This Row],[A]])*TabCalc[[#This Row],[NAfter]])*TabCalc[[#This Row],[Scale]]</f>
        <v>-26035.000000000018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-25785.000000000018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449.23629829290212</v>
      </c>
      <c r="CR17" s="435">
        <f ca="1">IF(TabCalc[[#This Row],[ntoBuy]]*TabCalc[[#This Row],[M]]&lt;=0,0,TabCalc[[#This Row],[ntoBuy]]*TabCalc[[#This Row],[M]])</f>
        <v>12380.952380952382</v>
      </c>
      <c r="CS17" s="435">
        <f ca="1">IF(TabCalc[[#This Row],[M]]&gt;ABS(TabCalc[[#This Row],[L_Bp]]),MIN(TabCalc[[#This Row],[NAfter]],DesiredSaleGain/(TabCalc[[#This Row],[M]]+TabCalc[[#This Row],[L_Bp]])),0)/TabCalc[[#This Row],[Scale]]</f>
        <v>5434.7826086956629</v>
      </c>
      <c r="CT17" s="436">
        <f ca="1">TabCalc[[#This Row],[ntoSell]]*TabCalc[[#This Row],[M]]</f>
        <v>149782.60869565245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-25785.000000000018</v>
      </c>
      <c r="CX17" s="99">
        <f ca="1">IFERROR((TabCalc[[#This Row],[M]]+TabCalc[[#This Row],[L_Bp]])/ABS(TabCalc[[#This Row],[L_Bp]])/(TODAY()-TabCalc[[#This Row],[L_Bdate]])*360,"")</f>
        <v>0.42870456663560025</v>
      </c>
      <c r="CY17" s="333">
        <f ca="1">MEDIAN(DataShift!F712:Z712)</f>
        <v>4.5579999999999996E-3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133090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133.09</v>
      </c>
      <c r="M18" s="799">
        <f ca="1">[1]!RTData[[#This Row],[Change%]]</f>
        <v>-1.126E-3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0.26651303643882213</v>
      </c>
      <c r="T18" s="1059">
        <f ca="1">IFERROR(SUMPRODUCT(DataShift!F1505:Z1505,DataShift!F713:Z713)/SQRT(SUMPRODUCT(DataShift!F1505:Z1505,DataShift!F1505:Z1505)*SUMPRODUCT(DataShift!F713:Z713,DataShift!F713:Z713)),0)</f>
        <v>9.7853923159325742E-2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-6930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-6172.0000000000027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7451.9999999999982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17374.499999999982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90</v>
      </c>
      <c r="AN18" s="357">
        <f ca="1">_xlfn.LET(_xlpm.MVToday,DataShift!AV515,         _xlpm.MVY,DataShift!AU515,        _xlpm.MVYY, DataShift!AT515,                                IF(_xlpm.MVToday=_xlpm.MVY,_xlpm.MVY-_xlpm.MVYY,_xlpm.MVToday-_xlpm.MVY))</f>
        <v>-290</v>
      </c>
      <c r="AO18" s="357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2">
        <f ca="1">TabCalc[[#This Row],[Y]]/TabCalc[[#This Row],[M]]</f>
        <v>1.1533548726425726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-0.41617425356650456</v>
      </c>
      <c r="AV18" s="91">
        <f t="shared" ca="1" si="1"/>
        <v>0</v>
      </c>
      <c r="AW18" s="99">
        <f ca="1">[1]!RTData[[#This Row],[V/VA]]</f>
        <v>0.65264001127734961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0.65264001127734961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52890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52890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40211.189999999944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147.89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45912.847226793747</v>
      </c>
      <c r="BQ18" s="189">
        <f ca="1">(TabCalc[[#This Row],[ValueBegin]]+(TabCalc[[#This Row],[M]]-TabCalc[[#This Row],[A]])*TabCalc[[#This Row],[NAfter]])*TabCalc[[#This Row],[Scale]]</f>
        <v>-87284.300000000017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-7084.3000000000129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268.38432635534093</v>
      </c>
      <c r="CR18" s="435">
        <f ca="1">IF(TabCalc[[#This Row],[ntoBuy]]*TabCalc[[#This Row],[M]]&lt;=0,0,TabCalc[[#This Row],[ntoBuy]]*TabCalc[[#This Row],[M]])</f>
        <v>35719.269994632326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-7084.3000000000129</v>
      </c>
      <c r="CX18" s="99">
        <f ca="1">IFERROR((TabCalc[[#This Row],[M]]+TabCalc[[#This Row],[L_Bp]])/ABS(TabCalc[[#This Row],[L_Bp]])/(TODAY()-TabCalc[[#This Row],[L_Bdate]])*360,"")</f>
        <v>-0.33940445293254878</v>
      </c>
      <c r="CY18" s="333">
        <f ca="1">MEDIAN(DataShift!F713:Z713)</f>
        <v>-1.126E-3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84180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14.03</v>
      </c>
      <c r="M19" s="799">
        <f ca="1">[1]!RTData[[#This Row],[Change%]]</f>
        <v>-3.5739E-2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0.46239656104283278</v>
      </c>
      <c r="T19" s="1059">
        <f ca="1">IFERROR(SUMPRODUCT(DataShift!F1506:Z1506,DataShift!F714:Z714)/SQRT(SUMPRODUCT(DataShift!F1506:Z1506,DataShift!F1506:Z1506)*SUMPRODUCT(DataShift!F714:Z714,DataShift!F714:Z714)),0)</f>
        <v>-0.43594876947890748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3,931 = $ 55,151</v>
      </c>
      <c r="W19" s="225">
        <f ca="1">MIN(TabCalc[[#This Row],[L_Bn]],TabCalc[[#This Row],[NAfter]])*(TabCalc[[#This Row],[M]]+TabCalc[[#This Row],[L_Bp]])*TabCalc[[#This Row],[Scale]]</f>
        <v>-1800.0000000000043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-18150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25160.000000000004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21204.400000000001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19" s="357">
        <f ca="1">_xlfn.LET(_xlpm.MVToday,DataShift!AV516,         _xlpm.MVY,DataShift!AU516,        _xlpm.MVYY, DataShift!AT516,                                IF(_xlpm.MVToday=_xlpm.MVY,_xlpm.MVY-_xlpm.MVYY,_xlpm.MVToday-_xlpm.MVY))</f>
        <v>-3120</v>
      </c>
      <c r="AO19" s="357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1980</v>
      </c>
      <c r="AP19" s="1192">
        <f ca="1">TabCalc[[#This Row],[Y]]/TabCalc[[#This Row],[M]]</f>
        <v>1.0780470420527442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-6.1871308824655658E-3</v>
      </c>
      <c r="AV19" s="91">
        <f t="shared" ca="1" si="1"/>
        <v>0</v>
      </c>
      <c r="AW19" s="99">
        <f ca="1">[1]!RTData[[#This Row],[V/VA]]</f>
        <v>1.0440655942660786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1.0440655942660786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-61562.509999999995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-3885.179999999993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-43404.646999999968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30.83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45912.852418390627</v>
      </c>
      <c r="BQ19" s="189">
        <f ca="1">(TabCalc[[#This Row],[ValueBegin]]+(TabCalc[[#This Row],[M]]-TabCalc[[#This Row],[A]])*TabCalc[[#This Row],[NAfter]])*TabCalc[[#This Row],[Scale]]</f>
        <v>-98940.18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-10875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794.91255961844183</v>
      </c>
      <c r="CR19" s="435">
        <f ca="1">IF(TabCalc[[#This Row],[ntoBuy]]*TabCalc[[#This Row],[M]]&lt;=0,0,TabCalc[[#This Row],[ntoBuy]]*TabCalc[[#This Row],[M]])</f>
        <v>11152.623211446738</v>
      </c>
      <c r="CS19" s="435">
        <f ca="1">IF(TabCalc[[#This Row],[M]]&gt;ABS(TabCalc[[#This Row],[L_Bp]]),MIN(TabCalc[[#This Row],[NAfter]],DesiredSaleGain/(TabCalc[[#This Row],[M]]+TabCalc[[#This Row],[L_Bp]])),0)/TabCalc[[#This Row],[Scale]]</f>
        <v>0</v>
      </c>
      <c r="CT19" s="436">
        <f ca="1">TabCalc[[#This Row],[ntoSell]]*TabCalc[[#This Row],[M]]</f>
        <v>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-10875</v>
      </c>
      <c r="CX19" s="99">
        <f ca="1">IFERROR((TabCalc[[#This Row],[M]]+TabCalc[[#This Row],[L_Bp]])/ABS(TabCalc[[#This Row],[L_Bp]])/(TODAY()-TabCalc[[#This Row],[L_Bdate]])*360,"")</f>
        <v>-0.21109142082768736</v>
      </c>
      <c r="CY19" s="333">
        <f ca="1">MEDIAN(DataShift!F714:Z714)</f>
        <v>-3.4889999999999999E-3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97031.25</v>
      </c>
      <c r="G20" s="91">
        <f ca="1">IFERROR(TabCalc[[#This Row],[SB]]-TabCalc[[#This Row],[SST]],TabCalc[[#This Row],[SB]])</f>
        <v>6250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15.525</v>
      </c>
      <c r="M20" s="799">
        <f ca="1">[1]!RTData[[#This Row],[Change%]]</f>
        <v>1.5038000000000001E-2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-0.45761658176476705</v>
      </c>
      <c r="T20" s="1059">
        <f ca="1">IFERROR(SUMPRODUCT(DataShift!F1507:Z1507,DataShift!F715:Z715)/SQRT(SUMPRODUCT(DataShift!F1507:Z1507,DataShift!F1507:Z1507)*SUMPRODUCT(DataShift!F715:Z715,DataShift!F715:Z715)),0)</f>
        <v>-0.40196509632688004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3725.000000000005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1031.2500000000014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18.74999999999627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45912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3750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15.53</v>
      </c>
      <c r="AI20" s="226">
        <f ca="1">IFERROR(TabCalc[[#This Row],[L_S1n]]*(TabCalc[[#This Row],[L_S1p]]-TabCalc[[#This Row],[M]])*TabCalc[[#This Row],[Scale]],0)</f>
        <v>4925.0000000000064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45877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16.510000000000002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1093.75</v>
      </c>
      <c r="AN20" s="357">
        <f ca="1">_xlfn.LET(_xlpm.MVToday,DataShift!AV517,         _xlpm.MVY,DataShift!AU517,        _xlpm.MVYY, DataShift!AT517,                                IF(_xlpm.MVToday=_xlpm.MVY,_xlpm.MVY-_xlpm.MVYY,_xlpm.MVToday-_xlpm.MVY))</f>
        <v>-55918.75</v>
      </c>
      <c r="AO20" s="357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-350</v>
      </c>
      <c r="AP20" s="1192">
        <f ca="1">TabCalc[[#This Row],[Y]]/TabCalc[[#This Row],[M]]</f>
        <v>1.0879227053140097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-333750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20" s="91">
        <f t="shared" ca="1" si="1"/>
        <v>333750</v>
      </c>
      <c r="AW20" s="99">
        <f ca="1">[1]!RTData[[#This Row],[V/VA]]</f>
        <v>1.2674223751841054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1.2674223751841054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2225300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-2956168.75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1066702.5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4771573.6687500002</v>
      </c>
      <c r="BI20" s="173">
        <f ca="1">TabCalc[[#This Row],[M_V]]+TabCalc[[#This Row],[EfCost]]</f>
        <v>1163733.75</v>
      </c>
      <c r="BJ20" s="173">
        <f ca="1">IF(        OR(      TabCalc[[#This Row],[GL]]&gt;ABS(TabCalc[[#This Row],[EfCost]])),             TabCalc[[#This Row],[GL]],     0)</f>
        <v>1163733.75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389000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45912.770833333336</v>
      </c>
      <c r="BQ20" s="189">
        <f ca="1">(TabCalc[[#This Row],[ValueBegin]]+(TabCalc[[#This Row],[M]]-TabCalc[[#This Row],[A]])*TabCalc[[#This Row],[NAfter]])*TabCalc[[#This Row],[Scale]]</f>
        <v>-3041098.4375</v>
      </c>
      <c r="BR20" s="201" cm="1">
        <f t="array" aca="1" ref="BR20" ca="1">_xlfn.XLOOKUP(TabCalc[[#This Row],[Ticker]],TabReg[[#Headers],[AAPL]:[UnknownX28]],Reg!B$57:KC$57)+3</f>
        <v>33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45912</v>
      </c>
      <c r="BU20" s="203" t="str" cm="1">
        <f t="array" aca="1" ref="BU20" ca="1">_xlfn.IFS(TabCalc[[#This Row],[L_TP]]&lt;0,"Purchase",TabCalc[[#This Row],[L_TP]]&gt;0,"Sale")</f>
        <v>Sale</v>
      </c>
      <c r="BV20" s="202" cm="1">
        <f t="array" aca="1" ref="BV20" ca="1">INDEX(Reg!$A$1:$KC$58,TabCalc[[#This Row],[L_I1]],TabCalc[[#This Row],[L_I2]])</f>
        <v>3750</v>
      </c>
      <c r="BW20" s="204" cm="1">
        <f t="array" aca="1" ref="BW20" ca="1">INDEX(Reg!$A$1:$KC$58,TabCalc[[#This Row],[L_I1]],TabCalc[[#This Row],[L_I2]]+1)</f>
        <v>15.53</v>
      </c>
      <c r="BX20" s="173">
        <f ca="1">TabCalc[[#This Row],[NAfter]]*(TabCalc[[#This Row],[M]]-IF(TabCalc[[#This Row],[E]]&gt;0,0,TabCalc[[#This Row],[A]]))</f>
        <v>12101.562500000007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45912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1000000.000000199</v>
      </c>
      <c r="CR20" s="435">
        <f ca="1">IF(TabCalc[[#This Row],[ntoBuy]]*TabCalc[[#This Row],[M]]&lt;=0,0,TabCalc[[#This Row],[ntoBuy]]*TabCalc[[#This Row],[M]])</f>
        <v>15525000.000003088</v>
      </c>
      <c r="CS20" s="435">
        <f ca="1">IF(TabCalc[[#This Row],[M]]&gt;ABS(TabCalc[[#This Row],[L_Bp]]),MIN(TabCalc[[#This Row],[NAfter]],DesiredSaleGain/(TabCalc[[#This Row],[M]]+TabCalc[[#This Row],[L_Bp]])),0)/TabCalc[[#This Row],[Scale]]</f>
        <v>6250</v>
      </c>
      <c r="CT20" s="436">
        <f ca="1">TabCalc[[#This Row],[ntoSell]]*TabCalc[[#This Row],[M]]</f>
        <v>97031.25</v>
      </c>
      <c r="CU20" s="428">
        <f ca="1">IF(TabCalc[[#This Row],[M]]-TabCalc[[#This Row],[A]]&lt;=0,"",INT(DesiredSaleGain/(TabCalc[[#This Row],[M]]-IF(TabCalc[[#This Row],[E]]&gt;0,0,TabCalc[[#This Row],[A]]))))</f>
        <v>2582</v>
      </c>
      <c r="CV20" s="359">
        <f ca="1">IFERROR(TabCalc[[#This Row],[NME]]*TabCalc[[#This Row],[M]],"")</f>
        <v>40085.550000000003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12101.562500000007</v>
      </c>
      <c r="CX20" s="99">
        <f ca="1">IFERROR((TabCalc[[#This Row],[M]]+TabCalc[[#This Row],[L_Bp]])/ABS(TabCalc[[#This Row],[L_Bp]])/(TODAY()-TabCalc[[#This Row],[L_Bdate]])*360,"")</f>
        <v>1.8146143437077158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6087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0.2029</v>
      </c>
      <c r="M21" s="799">
        <f ca="1">[1]!RTData[[#This Row],[Change%]]</f>
        <v>-1.2652000000000002E-2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-0.62666698571556212</v>
      </c>
      <c r="T21" s="1059">
        <f ca="1">IFERROR(SUMPRODUCT(DataShift!F1508:Z1508,DataShift!F716:Z716)/SQRT(SUMPRODUCT(DataShift!F1508:Z1508,DataShift!F1508:Z1508)*SUMPRODUCT(DataShift!F716:Z716,DataShift!F716:Z716)),0)</f>
        <v>2.1241145690806748E-2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-314,473 = $ -63,807</v>
      </c>
      <c r="W21" s="225">
        <f ca="1">MIN(TabCalc[[#This Row],[L_Bn]],TabCalc[[#This Row],[NAfter]])*(TabCalc[[#This Row],[M]]+TabCalc[[#This Row],[L_Bp]])*TabCalc[[#This Row],[Scale]]</f>
        <v>-18205.199999999997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-24256.5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55671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16041.300000000001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-243</v>
      </c>
      <c r="AN21" s="357">
        <f ca="1">_xlfn.LET(_xlpm.MVToday,DataShift!AV518,         _xlpm.MVY,DataShift!AU518,        _xlpm.MVYY, DataShift!AT518,                                IF(_xlpm.MVToday=_xlpm.MVY,_xlpm.MVY-_xlpm.MVYY,_xlpm.MVToday-_xlpm.MVY))</f>
        <v>-63</v>
      </c>
      <c r="AO21" s="357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2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0.1144557343760981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0.1144557343760981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-95071.162400000001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-92572.854699999996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-281.2355999999927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45912.854553390622</v>
      </c>
      <c r="BQ21" s="189">
        <f ca="1">(TabCalc[[#This Row],[ValueBegin]]+(TabCalc[[#This Row],[M]]-TabCalc[[#This Row],[A]])*TabCalc[[#This Row],[NAfter]])*TabCalc[[#This Row],[Scale]]</f>
        <v>-156379.25469999999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-57719.399999999994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898.13367821666577</v>
      </c>
      <c r="CR21" s="435">
        <f ca="1">IF(TabCalc[[#This Row],[ntoBuy]]*TabCalc[[#This Row],[M]]&lt;=0,0,TabCalc[[#This Row],[ntoBuy]]*TabCalc[[#This Row],[M]])</f>
        <v>182.23132331016149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-57719.399999999994</v>
      </c>
      <c r="CX21" s="99">
        <f ca="1">IFERROR((TabCalc[[#This Row],[M]]+TabCalc[[#This Row],[L_Bp]])/ABS(TabCalc[[#This Row],[L_Bp]])/(TODAY()-TabCalc[[#This Row],[L_Bdate]])*360,"")</f>
        <v>-1.4050113192014817</v>
      </c>
      <c r="CY21" s="333">
        <f ca="1">MEDIAN(DataShift!F716:Z716)</f>
        <v>-7.7720000000000003E-3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585.05000000000007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58.505000000000003</v>
      </c>
      <c r="M22" s="799">
        <f ca="1">[1]!RTData[[#This Row],[Change%]]</f>
        <v>-3.4920000000000003E-3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-6.9295892867523717E-2</v>
      </c>
      <c r="T22" s="1059">
        <f ca="1">IFERROR(SUMPRODUCT(DataShift!F1509:Z1509,DataShift!F717:Z717)/SQRT(SUMPRODUCT(DataShift!F1509:Z1509,DataShift!F1509:Z1509)*SUMPRODUCT(DataShift!F717:Z717,DataShift!F717:Z717)),0)</f>
        <v>-1.647786167256524E-2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118.29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149.55000000000007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-10763.28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-11439.449999999999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-13.449999999999932</v>
      </c>
      <c r="AN22" s="357">
        <f ca="1">_xlfn.LET(_xlpm.MVToday,DataShift!AV519,         _xlpm.MVY,DataShift!AU519,        _xlpm.MVYY, DataShift!AT519,                                IF(_xlpm.MVToday=_xlpm.MVY,_xlpm.MVY-_xlpm.MVYY,_xlpm.MVToday-_xlpm.MVY))</f>
        <v>-1.8499999999999091</v>
      </c>
      <c r="AO22" s="357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2">
        <f ca="1">TabCalc[[#This Row],[Y]]/TabCalc[[#This Row],[M]]</f>
        <v>0.97769421416972913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22" s="91">
        <f t="shared" ca="1" si="1"/>
        <v>990</v>
      </c>
      <c r="AW22" s="99">
        <f ca="1">[1]!RTData[[#This Row],[V/VA]]</f>
        <v>1.8756512069792939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1.8756512069792939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21105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-36814.949999999997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14292.98</v>
      </c>
      <c r="BJ22" s="173">
        <f ca="1">IF(        OR(      TabCalc[[#This Row],[GL]]&gt;ABS(TabCalc[[#This Row],[EfCost]])),             TabCalc[[#This Row],[GL]],     0)</f>
        <v>14292.98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45912.855596388283</v>
      </c>
      <c r="BQ22" s="189">
        <f ca="1">(TabCalc[[#This Row],[ValueBegin]]+(TabCalc[[#This Row],[M]]-TabCalc[[#This Row],[A]])*TabCalc[[#This Row],[NAfter]])*TabCalc[[#This Row],[Scale]]</f>
        <v>-37281.71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118.29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585.05000000000007</v>
      </c>
      <c r="CU22" s="428">
        <f ca="1">IF(TabCalc[[#This Row],[M]]-TabCalc[[#This Row],[A]]&lt;=0,"",INT(DesiredSaleGain/(TabCalc[[#This Row],[M]]-IF(TabCalc[[#This Row],[E]]&gt;0,0,TabCalc[[#This Row],[A]]))))</f>
        <v>422</v>
      </c>
      <c r="CV22" s="359">
        <f ca="1">IFERROR(TabCalc[[#This Row],[NME]]*TabCalc[[#This Row],[M]],"")</f>
        <v>24689.11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118.29</v>
      </c>
      <c r="CX22" s="99">
        <f ca="1">IFERROR((TabCalc[[#This Row],[M]]+TabCalc[[#This Row],[L_Bp]])/ABS(TabCalc[[#This Row],[L_Bp]])/(TODAY()-TabCalc[[#This Row],[L_Bdate]])*360,"")</f>
        <v>0.22751630650001101</v>
      </c>
      <c r="CY22" s="333">
        <f ca="1">MEDIAN(DataShift!F717:Z717)</f>
        <v>-1.0199999999999999E-3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296820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24.734999999999999</v>
      </c>
      <c r="M23" s="799">
        <f ca="1">[1]!RTData[[#This Row],[Change%]]</f>
        <v>-5.0280000000000004E-3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0.27308656354064859</v>
      </c>
      <c r="T23" s="1059">
        <f ca="1">IFERROR(SUMPRODUCT(DataShift!F1510:Z1510,DataShift!F718:Z718)/SQRT(SUMPRODUCT(DataShift!F1510:Z1510,DataShift!F1510:Z1510)*SUMPRODUCT(DataShift!F718:Z718,DataShift!F718:Z718)),0)</f>
        <v>0.34430853048093057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17950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17788.167999999998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-2242.5000000000014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-4570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-1440</v>
      </c>
      <c r="AN23" s="357">
        <f ca="1">_xlfn.LET(_xlpm.MVToday,DataShift!AV520,         _xlpm.MVY,DataShift!AU520,        _xlpm.MVYY, DataShift!AT520,                                IF(_xlpm.MVToday=_xlpm.MVY,_xlpm.MVY-_xlpm.MVYY,_xlpm.MVToday-_xlpm.MVY))</f>
        <v>-1500</v>
      </c>
      <c r="AO23" s="357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5040</v>
      </c>
      <c r="AP23" s="1192">
        <f ca="1">TabCalc[[#This Row],[Y]]/TabCalc[[#This Row],[M]]</f>
        <v>0.92298362644026677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1.2242415464634745E-2</v>
      </c>
      <c r="AV23" s="91">
        <f t="shared" ca="1" si="1"/>
        <v>0</v>
      </c>
      <c r="AW23" s="99">
        <f ca="1">[1]!RTData[[#This Row],[V/VA]]</f>
        <v>1.0086085497549011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1.0086085497549011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162900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162900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187692</v>
      </c>
      <c r="BJ23" s="173">
        <f ca="1">IF(        OR(      TabCalc[[#This Row],[GL]]&gt;ABS(TabCalc[[#This Row],[EfCost]])),             TabCalc[[#This Row],[GL]],     0)</f>
        <v>187692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45912.856579258594</v>
      </c>
      <c r="BQ23" s="189">
        <f ca="1">(TabCalc[[#This Row],[ValueBegin]]+(TabCalc[[#This Row],[M]]-TabCalc[[#This Row],[A]])*TabCalc[[#This Row],[NAfter]])*TabCalc[[#This Row],[Scale]]</f>
        <v>-79772.331999999995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54147.667999999998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557.10306406685243</v>
      </c>
      <c r="CT23" s="436">
        <f ca="1">TabCalc[[#This Row],[ntoSell]]*TabCalc[[#This Row],[M]]</f>
        <v>13779.944289693594</v>
      </c>
      <c r="CU23" s="428">
        <f ca="1">IF(TabCalc[[#This Row],[M]]-TabCalc[[#This Row],[A]]&lt;=0,"",INT(DesiredSaleGain/(TabCalc[[#This Row],[M]]-IF(TabCalc[[#This Row],[E]]&gt;0,0,TabCalc[[#This Row],[A]]))))</f>
        <v>1108</v>
      </c>
      <c r="CV23" s="359">
        <f ca="1">IFERROR(TabCalc[[#This Row],[NME]]*TabCalc[[#This Row],[M]],"")</f>
        <v>27406.38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54147.667999999998</v>
      </c>
      <c r="CX23" s="99">
        <f ca="1">IFERROR((TabCalc[[#This Row],[M]]+TabCalc[[#This Row],[L_Bp]])/ABS(TabCalc[[#This Row],[L_Bp]])/(TODAY()-TabCalc[[#This Row],[L_Bdate]])*360,"")</f>
        <v>1.08472322939328</v>
      </c>
      <c r="CY23" s="333">
        <f ca="1">MEDIAN(DataShift!F718:Z718)</f>
        <v>-1.323E-3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27955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27.954999999999998</v>
      </c>
      <c r="M24" s="799">
        <f ca="1">[1]!RTData[[#This Row],[Change%]]</f>
        <v>-1.3585E-2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0.68347359146842102</v>
      </c>
      <c r="T24" s="1059">
        <f ca="1">IFERROR(SUMPRODUCT(DataShift!F1511:Z1511,DataShift!F719:Z719)/SQRT(SUMPRODUCT(DataShift!F1511:Z1511,DataShift!F1511:Z1511)*SUMPRODUCT(DataShift!F719:Z719,DataShift!F719:Z719)),0)</f>
        <v>-0.29722699871066094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3005.0019999999977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4564.9999999999982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-3500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1140.0000000000005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-285</v>
      </c>
      <c r="AN24" s="357">
        <f ca="1">_xlfn.LET(_xlpm.MVToday,DataShift!AV521,         _xlpm.MVY,DataShift!AU521,        _xlpm.MVYY, DataShift!AT521,                                IF(_xlpm.MVToday=_xlpm.MVY,_xlpm.MVY-_xlpm.MVYY,_xlpm.MVToday-_xlpm.MVY))</f>
        <v>-380</v>
      </c>
      <c r="AO24" s="357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-35</v>
      </c>
      <c r="AP24" s="1192">
        <f ca="1">TabCalc[[#This Row],[Y]]/TabCalc[[#This Row],[M]]</f>
        <v>1.0004650330888929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-2.8100183074558194E-9</v>
      </c>
      <c r="AV24" s="91">
        <f t="shared" ca="1" si="1"/>
        <v>0</v>
      </c>
      <c r="AW24" s="99">
        <f ca="1">[1]!RTData[[#This Row],[V/VA]]</f>
        <v>0.88121744011287773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0.88121744011287773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12255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12255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45549.208000000042</v>
      </c>
      <c r="BJ24" s="173">
        <f ca="1">IF(        OR(      TabCalc[[#This Row],[GL]]&gt;ABS(TabCalc[[#This Row],[EfCost]])),             TabCalc[[#This Row],[GL]],     0)</f>
        <v>45549.208000000042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45912.855575103909</v>
      </c>
      <c r="BQ24" s="189">
        <f ca="1">(TabCalc[[#This Row],[ValueBegin]]+(TabCalc[[#This Row],[M]]-TabCalc[[#This Row],[A]])*TabCalc[[#This Row],[NAfter]])*TabCalc[[#This Row],[Scale]]</f>
        <v>-12694.998000000003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3005.0019999999977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27955</v>
      </c>
      <c r="CU24" s="428">
        <f ca="1">IF(TabCalc[[#This Row],[M]]-TabCalc[[#This Row],[A]]&lt;=0,"",INT(DesiredSaleGain/(TabCalc[[#This Row],[M]]-IF(TabCalc[[#This Row],[E]]&gt;0,0,TabCalc[[#This Row],[A]]))))</f>
        <v>1663</v>
      </c>
      <c r="CV24" s="359">
        <f ca="1">IFERROR(TabCalc[[#This Row],[NME]]*TabCalc[[#This Row],[M]],"")</f>
        <v>46489.164999999994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3005.0019999999977</v>
      </c>
      <c r="CX24" s="99">
        <f ca="1">IFERROR((TabCalc[[#This Row],[M]]+TabCalc[[#This Row],[L_Bp]])/ABS(TabCalc[[#This Row],[L_Bp]])/(TODAY()-TabCalc[[#This Row],[L_Bdate]])*360,"")</f>
        <v>0.41294047398320399</v>
      </c>
      <c r="CY24" s="333">
        <f ca="1">MEDIAN(DataShift!F719:Z719)</f>
        <v>-8.293E-3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1031400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</v>
      </c>
      <c r="M25" s="799">
        <f ca="1">[1]!RTData[[#This Row],[Change%]]</f>
        <v>-7.8469999999999994E-4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0.70095704490432931</v>
      </c>
      <c r="T25" s="1059">
        <f ca="1">IFERROR(SUMPRODUCT(DataShift!F1512:Z1512,DataShift!F720:Z720)/SQRT(SUMPRODUCT(DataShift!F1512:Z1512,DataShift!F1512:Z1512)*SUMPRODUCT(DataShift!F720:Z720,DataShift!F720:Z720)),0)</f>
        <v>-0.11333698809094253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26597.600000000002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19504.420000000006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98.474999999999113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10.024999999999977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-7020</v>
      </c>
      <c r="AN25" s="357">
        <f ca="1">_xlfn.LET(_xlpm.MVToday,DataShift!AV522,         _xlpm.MVY,DataShift!AU522,        _xlpm.MVYY, DataShift!AT522,                                IF(_xlpm.MVToday=_xlpm.MVY,_xlpm.MVY-_xlpm.MVYY,_xlpm.MVToday-_xlpm.MVY))</f>
        <v>-810</v>
      </c>
      <c r="AO25" s="357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1620</v>
      </c>
      <c r="AP25" s="1192">
        <f ca="1">TabCalc[[#This Row],[Y]]/TabCalc[[#This Row],[M]]</f>
        <v>1.1409369109947645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25" s="91">
        <f t="shared" ca="1" si="1"/>
        <v>230000</v>
      </c>
      <c r="AW25" s="99">
        <f ca="1">[1]!RTData[[#This Row],[V/VA]]</f>
        <v>0.78391580326449306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0.78391580326449306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1125000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246400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1107630.1671</v>
      </c>
      <c r="BJ25" s="173">
        <f ca="1">IF(        OR(      TabCalc[[#This Row],[GL]]&gt;ABS(TabCalc[[#This Row],[EfCost]])),             TabCalc[[#This Row],[GL]],     0)</f>
        <v>1107630.1671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45912.644570450779</v>
      </c>
      <c r="BQ25" s="189">
        <f ca="1">(TabCalc[[#This Row],[ValueBegin]]+(TabCalc[[#This Row],[M]]-TabCalc[[#This Row],[A]])*TabCalc[[#This Row],[NAfter]])*TabCalc[[#This Row],[Scale]]</f>
        <v>458912.02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46676202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4950.4950495049952</v>
      </c>
      <c r="CR25" s="435">
        <f ca="1">IF(TabCalc[[#This Row],[ntoBuy]]*TabCalc[[#This Row],[M]]&lt;=0,0,TabCalc[[#This Row],[ntoBuy]]*TabCalc[[#This Row],[M]])</f>
        <v>1891089.1089109082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3759.7377206966044</v>
      </c>
      <c r="CT25" s="436">
        <f ca="1">TabCalc[[#This Row],[ntoSell]]*TabCalc[[#This Row],[M]]</f>
        <v>1436219.8093061028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10696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466762.02</v>
      </c>
      <c r="CX25" s="99">
        <f ca="1">IFERROR((TabCalc[[#This Row],[M]]+TabCalc[[#This Row],[L_Bp]])/ABS(TabCalc[[#This Row],[L_Bp]])/(TODAY()-TabCalc[[#This Row],[L_Bdate]])*360,"")</f>
        <v>1.1723325705137924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181651.40000000002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68.290000000000006</v>
      </c>
      <c r="M26" s="799">
        <f ca="1">[1]!RTData[[#This Row],[Change%]]</f>
        <v>1.5767E-2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-0.33404557761059139</v>
      </c>
      <c r="T26" s="1059">
        <f ca="1">IFERROR(SUMPRODUCT(DataShift!F1513:Z1513,DataShift!F721:Z721)/SQRT(SUMPRODUCT(DataShift!F1513:Z1513,DataShift!F1513:Z1513)*SUMPRODUCT(DataShift!F721:Z721,DataShift!F721:Z721)),0)</f>
        <v>-0.21107368265403625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732.59999999999968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-218.99999999999409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3529.9999999999868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829.99999999999829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2420.6000000000349</v>
      </c>
      <c r="AN26" s="357">
        <f ca="1">_xlfn.LET(_xlpm.MVToday,DataShift!AV523,         _xlpm.MVY,DataShift!AU523,        _xlpm.MVYY, DataShift!AT523,                                IF(_xlpm.MVToday=_xlpm.MVY,_xlpm.MVY-_xlpm.MVYY,_xlpm.MVToday-_xlpm.MVY))</f>
        <v>2926.0000000000291</v>
      </c>
      <c r="AO26" s="357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2">
        <f ca="1">TabCalc[[#This Row],[Y]]/TabCalc[[#This Row],[M]]</f>
        <v>1.1089071606384535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-7.9548360168649412E-2</v>
      </c>
      <c r="AV26" s="91">
        <f t="shared" ca="1" si="1"/>
        <v>2340</v>
      </c>
      <c r="AW26" s="99">
        <f ca="1">[1]!RTData[[#This Row],[V/VA]]</f>
        <v>1.1288481836894104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1.1288481836894104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163750.00000000006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3951.4000000000233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114847.59000000001</v>
      </c>
      <c r="BJ26" s="173">
        <f ca="1">IF(        OR(      TabCalc[[#This Row],[GL]]&gt;ABS(TabCalc[[#This Row],[EfCost]])),             TabCalc[[#This Row],[GL]],     0)</f>
        <v>114847.59000000001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41.14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45912.85568359922</v>
      </c>
      <c r="BQ26" s="189">
        <f ca="1">(TabCalc[[#This Row],[ValueBegin]]+(TabCalc[[#This Row],[M]]-TabCalc[[#This Row],[A]])*TabCalc[[#This Row],[NAfter]])*TabCalc[[#This Row],[Scale]]</f>
        <v>-177186.39999999997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513.60000000003333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1416.4305949008551</v>
      </c>
      <c r="CR26" s="435">
        <f ca="1">IF(TabCalc[[#This Row],[ntoBuy]]*TabCalc[[#This Row],[M]]&lt;=0,0,TabCalc[[#This Row],[ntoBuy]]*TabCalc[[#This Row],[M]])</f>
        <v>96728.0453257794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181651.40000000002</v>
      </c>
      <c r="CU26" s="428">
        <f ca="1">IF(TabCalc[[#This Row],[M]]-TabCalc[[#This Row],[A]]&lt;=0,"",INT(DesiredSaleGain/(TabCalc[[#This Row],[M]]-IF(TabCalc[[#This Row],[E]]&gt;0,0,TabCalc[[#This Row],[A]]))))</f>
        <v>25895</v>
      </c>
      <c r="CV26" s="359">
        <f ca="1">IFERROR(TabCalc[[#This Row],[NME]]*TabCalc[[#This Row],[M]],"")</f>
        <v>1768369.55</v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513.60000000003333</v>
      </c>
      <c r="CX26" s="99">
        <f ca="1">IFERROR((TabCalc[[#This Row],[M]]+TabCalc[[#This Row],[L_Bp]])/ABS(TabCalc[[#This Row],[L_Bp]])/(TODAY()-TabCalc[[#This Row],[L_Bdate]])*360,"")</f>
        <v>0.4248713477650658</v>
      </c>
      <c r="CY26" s="333">
        <f ca="1">MEDIAN(DataShift!F721:Z721)</f>
        <v>4.0590000000000001E-3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12.47</v>
      </c>
      <c r="M27" s="799">
        <f ca="1">[1]!RTData[[#This Row],[Change%]]</f>
        <v>2.8029999999999999E-2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-0.47357490298810584</v>
      </c>
      <c r="T27" s="1059">
        <f ca="1">IFERROR(SUMPRODUCT(DataShift!F1514:Z1514,DataShift!F722:Z722)/SQRT(SUMPRODUCT(DataShift!F1514:Z1514,DataShift!F1514:Z1514)*SUMPRODUCT(DataShift!F722:Z722,DataShift!F722:Z722)),0)</f>
        <v>-0.37513677401609957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-12030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-17085.932000000001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7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7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2">
        <f ca="1">TabCalc[[#This Row],[Y]]/TabCalc[[#This Row],[M]]</f>
        <v>1.2028869286287089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-8.6577262763966767E-2</v>
      </c>
      <c r="AV27" s="91">
        <f t="shared" ca="1" si="1"/>
        <v>2276</v>
      </c>
      <c r="AW27" s="99">
        <f ca="1">[1]!RTData[[#This Row],[V/VA]]</f>
        <v>0.84198483169513727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0.84198483169513727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-12041.689999999995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45912.840322615622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400</v>
      </c>
      <c r="CV27" s="359">
        <f ca="1">IFERROR(TabCalc[[#This Row],[NME]]*TabCalc[[#This Row],[M]],"")</f>
        <v>4988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0.91083076984739353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12110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6.0549999999999997</v>
      </c>
      <c r="M28" s="799">
        <f ca="1">[1]!RTData[[#This Row],[Change%]]</f>
        <v>-5.7469999999999995E-3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0.24838386312395258</v>
      </c>
      <c r="T28" s="1059">
        <f ca="1">IFERROR(SUMPRODUCT(DataShift!F1515:Z1515,DataShift!F723:Z723)/SQRT(SUMPRODUCT(DataShift!F1515:Z1515,DataShift!F1515:Z1515)*SUMPRODUCT(DataShift!F723:Z723,DataShift!F723:Z723)),0)</f>
        <v>0.48731075654744449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 = $ -85</v>
      </c>
      <c r="W28" s="225">
        <f ca="1">MIN(TabCalc[[#This Row],[L_Bn]],TabCalc[[#This Row],[NAfter]])*(TabCalc[[#This Row],[M]]+TabCalc[[#This Row],[L_Bp]])*TabCalc[[#This Row],[Scale]]</f>
        <v>1973.3999999999999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6149.9999999999991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-2309.9999999999986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-495.00000000000011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-10</v>
      </c>
      <c r="AN28" s="357">
        <f ca="1">_xlfn.LET(_xlpm.MVToday,DataShift!AV525,         _xlpm.MVY,DataShift!AU525,        _xlpm.MVYY, DataShift!AT525,                                IF(_xlpm.MVToday=_xlpm.MVY,_xlpm.MVY-_xlpm.MVYY,_xlpm.MVToday-_xlpm.MVY))</f>
        <v>-60</v>
      </c>
      <c r="AO28" s="357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2">
        <f ca="1">TabCalc[[#This Row],[Y]]/TabCalc[[#This Row],[M]]</f>
        <v>0.8359735755573906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3.1964142003444676E-2</v>
      </c>
      <c r="AV28" s="91">
        <f t="shared" ca="1" si="1"/>
        <v>0</v>
      </c>
      <c r="AW28" s="99">
        <f ca="1">[1]!RTData[[#This Row],[V/VA]]</f>
        <v>0.9738413012271655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0.9738413012271655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-42643.100000000006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-42643.100000000006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14508.9</v>
      </c>
      <c r="BJ28" s="173">
        <f ca="1">IF(        OR(      TabCalc[[#This Row],[GL]]&gt;ABS(TabCalc[[#This Row],[EfCost]])),             TabCalc[[#This Row],[GL]],     0)</f>
        <v>14508.9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45912.856180126561</v>
      </c>
      <c r="BQ28" s="189">
        <f ca="1">(TabCalc[[#This Row],[ValueBegin]]+(TabCalc[[#This Row],[M]]-TabCalc[[#This Row],[A]])*TabCalc[[#This Row],[NAfter]])*TabCalc[[#This Row],[Scale]]</f>
        <v>-52779.700000000004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1973.3999999999999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12110</v>
      </c>
      <c r="CU28" s="428">
        <f ca="1">IF(TabCalc[[#This Row],[M]]-TabCalc[[#This Row],[A]]&lt;=0,"",INT(DesiredSaleGain/(TabCalc[[#This Row],[M]]-IF(TabCalc[[#This Row],[E]]&gt;0,0,TabCalc[[#This Row],[A]]))))</f>
        <v>5067</v>
      </c>
      <c r="CV28" s="359">
        <f ca="1">IFERROR(TabCalc[[#This Row],[NME]]*TabCalc[[#This Row],[M]],"")</f>
        <v>30680.684999999998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1973.3999999999999</v>
      </c>
      <c r="CX28" s="99">
        <f ca="1">IFERROR((TabCalc[[#This Row],[M]]+TabCalc[[#This Row],[L_Bp]])/ABS(TabCalc[[#This Row],[L_Bp]])/(TODAY()-TabCalc[[#This Row],[L_Bdate]])*360,"")</f>
        <v>0.30739051919204713</v>
      </c>
      <c r="CY28" s="333">
        <f ca="1">MEDIAN(DataShift!F723:Z723)</f>
        <v>-5.7469999999999995E-3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282120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23.51</v>
      </c>
      <c r="M29" s="799">
        <f ca="1">[1]!RTData[[#This Row],[Change%]]</f>
        <v>-7.4045E-2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-0.48716271254536347</v>
      </c>
      <c r="T29" s="1059">
        <f ca="1">IFERROR(SUMPRODUCT(DataShift!F1516:Z1516,DataShift!F724:Z724)/SQRT(SUMPRODUCT(DataShift!F1516:Z1516,DataShift!F1516:Z1516)*SUMPRODUCT(DataShift!F724:Z724,DataShift!F724:Z724)),0)</f>
        <v>0.26112618156702178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15,850 = $ 372,633</v>
      </c>
      <c r="W29" s="225">
        <f ca="1">MIN(TabCalc[[#This Row],[L_Bn]],TabCalc[[#This Row],[NAfter]])*(TabCalc[[#This Row],[M]]+TabCalc[[#This Row],[L_Bp]])*TabCalc[[#This Row],[Scale]]</f>
        <v>-53520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-23620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97094.999999999985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285040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-20580</v>
      </c>
      <c r="AN29" s="357">
        <f ca="1">_xlfn.LET(_xlpm.MVToday,DataShift!AV526,         _xlpm.MVY,DataShift!AU526,        _xlpm.MVYY, DataShift!AT526,                                IF(_xlpm.MVToday=_xlpm.MVY,_xlpm.MVY-_xlpm.MVYY,_xlpm.MVToday-_xlpm.MVY))</f>
        <v>-22440</v>
      </c>
      <c r="AO29" s="357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2">
        <f ca="1">TabCalc[[#This Row],[Y]]/TabCalc[[#This Row],[M]]</f>
        <v>1.8821777966822628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29" s="91">
        <f t="shared" ca="1" si="1"/>
        <v>0</v>
      </c>
      <c r="AW29" s="99">
        <f ca="1">[1]!RTData[[#This Row],[V/VA]]</f>
        <v>3.179281276546623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3.179281276546623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-20329.07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257088.93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-531081.97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58.89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45912.856650265625</v>
      </c>
      <c r="BQ29" s="189">
        <f ca="1">(TabCalc[[#This Row],[ValueBegin]]+(TabCalc[[#This Row],[M]]-TabCalc[[#This Row],[A]])*TabCalc[[#This Row],[NAfter]])*TabCalc[[#This Row],[Scale]]</f>
        <v>-602655.10999999987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-577624.03999999992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77.243936350996464</v>
      </c>
      <c r="CR29" s="435">
        <f ca="1">IF(TabCalc[[#This Row],[ntoBuy]]*TabCalc[[#This Row],[M]]&lt;=0,0,TabCalc[[#This Row],[ntoBuy]]*TabCalc[[#This Row],[M]])</f>
        <v>1816.004943611927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-577624.03999999992</v>
      </c>
      <c r="CX29" s="99">
        <f ca="1">IFERROR((TabCalc[[#This Row],[M]]+TabCalc[[#This Row],[L_Bp]])/ABS(TabCalc[[#This Row],[L_Bp]])/(TODAY()-TabCalc[[#This Row],[L_Bdate]])*360,"")</f>
        <v>-0.68724786251618486</v>
      </c>
      <c r="CY29" s="333">
        <f ca="1">MEDIAN(DataShift!F724:Z724)</f>
        <v>-1.0045E-2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5200980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509.9</v>
      </c>
      <c r="M30" s="799">
        <f ca="1">[1]!RTData[[#This Row],[Change%]]</f>
        <v>1.7743999999999999E-2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-0.47607674952057433</v>
      </c>
      <c r="T30" s="1059">
        <f ca="1">IFERROR(SUMPRODUCT(DataShift!F1517:Z1517,DataShift!F725:Z725)/SQRT(SUMPRODUCT(DataShift!F1517:Z1517,DataShift!F1517:Z1517)*SUMPRODUCT(DataShift!F725:Z725,DataShift!F725:Z725)),0)</f>
        <v>-0.46338079872820942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19720.499999999996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19670.999999999996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-2039.999999999995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-2763.7499999999932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33150</v>
      </c>
      <c r="AN30" s="357">
        <f ca="1">_xlfn.LET(_xlpm.MVToday,DataShift!AV527,         _xlpm.MVY,DataShift!AU527,        _xlpm.MVYY, DataShift!AT527,                                IF(_xlpm.MVToday=_xlpm.MVY,_xlpm.MVY-_xlpm.MVYY,_xlpm.MVToday-_xlpm.MVY))</f>
        <v>87006</v>
      </c>
      <c r="AO30" s="357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2">
        <f ca="1">TabCalc[[#This Row],[Y]]/TabCalc[[#This Row],[M]]</f>
        <v>1.2039450872720143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-3.5926762077669614</v>
      </c>
      <c r="AV30" s="91">
        <f t="shared" ca="1" si="1"/>
        <v>0</v>
      </c>
      <c r="AW30" s="99">
        <f ca="1">[1]!RTData[[#This Row],[V/VA]]</f>
        <v>1.1464970251381266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1.1464970251381266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4044200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4146180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4079668.06</v>
      </c>
      <c r="BJ30" s="173">
        <f ca="1">IF(        OR(      TabCalc[[#This Row],[GL]]&gt;ABS(TabCalc[[#This Row],[EfCost]])),             TabCalc[[#This Row],[GL]],     0)</f>
        <v>4079668.06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45912.856600346873</v>
      </c>
      <c r="BQ30" s="189">
        <f ca="1">(TabCalc[[#This Row],[ValueBegin]]+(TabCalc[[#This Row],[M]]-TabCalc[[#This Row],[A]])*TabCalc[[#This Row],[NAfter]])*TabCalc[[#This Row],[Scale]]</f>
        <v>892226.89999999944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1947026.8999999994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38.0314900737811</v>
      </c>
      <c r="CT30" s="436">
        <f ca="1">TabCalc[[#This Row],[ntoSell]]*TabCalc[[#This Row],[M]]</f>
        <v>19392.256788620984</v>
      </c>
      <c r="CU30" s="428">
        <f ca="1">IF(TabCalc[[#This Row],[M]]-TabCalc[[#This Row],[A]]&lt;=0,"",INT(DesiredSaleGain/(TabCalc[[#This Row],[M]]-IF(TabCalc[[#This Row],[E]]&gt;0,0,TabCalc[[#This Row],[A]]))))</f>
        <v>26</v>
      </c>
      <c r="CV30" s="359">
        <f ca="1">IFERROR(TabCalc[[#This Row],[NME]]*TabCalc[[#This Row],[M]],"")</f>
        <v>13257.4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1947026.8999999994</v>
      </c>
      <c r="CX30" s="99">
        <f ca="1">IFERROR((TabCalc[[#This Row],[M]]+TabCalc[[#This Row],[L_Bp]])/ABS(TabCalc[[#This Row],[L_Bp]])/(TODAY()-TabCalc[[#This Row],[L_Bdate]])*360,"")</f>
        <v>0.84504899688685309</v>
      </c>
      <c r="CY30" s="333">
        <f ca="1">MEDIAN(DataShift!F725:Z725)</f>
        <v>5.7410000000000002E-4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300972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71.66</v>
      </c>
      <c r="M31" s="799">
        <f ca="1">[1]!RTData[[#This Row],[Change%]]</f>
        <v>4.7670000000000004E-3</v>
      </c>
      <c r="N31" s="1059">
        <v>0.47619047619047616</v>
      </c>
      <c r="O31" s="1059">
        <f>TabCalc[[#This Row],[Up20]]-1+TabCalc[[#This Row],[Up20]]</f>
        <v>-4.7619047619047672E-2</v>
      </c>
      <c r="P31" s="1059">
        <f>TabCalc[[#This Row],[Up20]]-TabCalc[[#This Row],[Up150]]</f>
        <v>-3.3743298643960973E-2</v>
      </c>
      <c r="Q31" s="1059">
        <v>0.50993377483443714</v>
      </c>
      <c r="R31" s="1059">
        <f>TabCalc[[#This Row],[Up150]]-1+TabCalc[[#This Row],[Up150]]</f>
        <v>1.9867549668874274E-2</v>
      </c>
      <c r="S31" s="1059">
        <f ca="1">IFERROR(SUMPRODUCT(DataShift!F1518:Z1518,DataShift!AB726:AV726)/SQRT(SUMPRODUCT(DataShift!F1518:Z1518,DataShift!F1518:Z1518)*SUMPRODUCT(DataShift!AB726:AV726,DataShift!AB726:AV726)),0)</f>
        <v>-0.77839352768921466</v>
      </c>
      <c r="T31" s="1059">
        <f ca="1">IFERROR(SUMPRODUCT(DataShift!F1518:Z1518,DataShift!F726:Z726)/SQRT(SUMPRODUCT(DataShift!F1518:Z1518,DataShift!F1518:Z1518)*SUMPRODUCT(DataShift!F726:Z726,DataShift!F726:Z726)),0)</f>
        <v>0.10177147493437827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2638.2279999999696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-2700.0000000000173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3760.000000000005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13649.999999999991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2142</v>
      </c>
      <c r="AN31" s="357">
        <f ca="1">_xlfn.LET(_xlpm.MVToday,DataShift!AV528,         _xlpm.MVY,DataShift!AU528,        _xlpm.MVYY, DataShift!AT528,                                IF(_xlpm.MVToday=_xlpm.MVY,_xlpm.MVY-_xlpm.MVYY,_xlpm.MVToday-_xlpm.MVY))</f>
        <v>1239</v>
      </c>
      <c r="AO31" s="357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2">
        <f ca="1">TabCalc[[#This Row],[Y]]/TabCalc[[#This Row],[M]]</f>
        <v>1.1483968741278261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-0.2039196424405969</v>
      </c>
      <c r="AV31" s="91">
        <f t="shared" ca="1" si="1"/>
        <v>0</v>
      </c>
      <c r="AW31" s="99">
        <f ca="1">[1]!RTData[[#This Row],[V/VA]]</f>
        <v>0.95237938910510245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0.95237938910510245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-2930.859999999986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-2930.859999999986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44856.521999999968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99.88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45912.850109397659</v>
      </c>
      <c r="BQ31" s="189">
        <f ca="1">(TabCalc[[#This Row],[ValueBegin]]+(TabCalc[[#This Row],[M]]-TabCalc[[#This Row],[A]])*TabCalc[[#This Row],[NAfter]])*TabCalc[[#This Row],[Scale]]</f>
        <v>-301444.63199999998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2458.2280000000028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1329.7872340425513</v>
      </c>
      <c r="CR31" s="435">
        <f ca="1">IF(TabCalc[[#This Row],[ntoBuy]]*TabCalc[[#This Row],[M]]&lt;=0,0,TabCalc[[#This Row],[ntoBuy]]*TabCalc[[#This Row],[M]])</f>
        <v>95292.55319148922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300972</v>
      </c>
      <c r="CU31" s="428">
        <f ca="1">IF(TabCalc[[#This Row],[M]]-TabCalc[[#This Row],[A]]&lt;=0,"",INT(DesiredSaleGain/(TabCalc[[#This Row],[M]]-IF(TabCalc[[#This Row],[E]]&gt;0,0,TabCalc[[#This Row],[A]]))))</f>
        <v>8542</v>
      </c>
      <c r="CV31" s="359">
        <f ca="1">IFERROR(TabCalc[[#This Row],[NME]]*TabCalc[[#This Row],[M]],"")</f>
        <v>612119.72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2458.2280000000028</v>
      </c>
      <c r="CX31" s="99">
        <f ca="1">IFERROR((TabCalc[[#This Row],[M]]+TabCalc[[#This Row],[L_Bp]])/ABS(TabCalc[[#This Row],[L_Bp]])/(TODAY()-TabCalc[[#This Row],[L_Bdate]])*360,"")</f>
        <v>1.6721059050293339</v>
      </c>
      <c r="CY31" s="333">
        <f ca="1">MEDIAN(DataShift!F726:Z726)</f>
        <v>-5.5489999999999999E-4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1125563</v>
      </c>
      <c r="G32" s="91">
        <f ca="1">IFERROR(TabCalc[[#This Row],[SB]]-TabCalc[[#This Row],[SST]],TabCalc[[#This Row],[SB]])</f>
        <v>14200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-1.2582204225352018</v>
      </c>
      <c r="K32" s="408">
        <v>45.963070987654319</v>
      </c>
      <c r="L32" s="409">
        <f ca="1">[1]!RTData[[#This Row],[M-Price]]</f>
        <v>79.265000000000001</v>
      </c>
      <c r="M32" s="799">
        <f ca="1">[1]!RTData[[#This Row],[Change%]]</f>
        <v>-4.8339999999999998E-3</v>
      </c>
      <c r="N32" s="1059">
        <v>0.61904761904761907</v>
      </c>
      <c r="O32" s="1059">
        <f>TabCalc[[#This Row],[Up20]]-1+TabCalc[[#This Row],[Up20]]</f>
        <v>0.23809523809523814</v>
      </c>
      <c r="P32" s="1059">
        <f>TabCalc[[#This Row],[Up20]]-TabCalc[[#This Row],[Up150]]</f>
        <v>3.6266162093976706E-2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0.44984842661604346</v>
      </c>
      <c r="T32" s="1059">
        <f ca="1">IFERROR(SUMPRODUCT(DataShift!F1519:Z1519,DataShift!F727:Z727)/SQRT(SUMPRODUCT(DataShift!F1519:Z1519,DataShift!F1519:Z1519)*SUMPRODUCT(DataShift!F727:Z727,DataShift!F727:Z727)),0)</f>
        <v>0.11312721864207677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23295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29285.000000000004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-9.9999999999909051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45912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I32" s="226">
        <f ca="1">IFERROR(TabCalc[[#This Row],[L_S1n]]*(TabCalc[[#This Row],[L_S1p]]-TabCalc[[#This Row],[M]])*TabCalc[[#This Row],[Scale]],0)</f>
        <v>-18289.999999999993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2000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70.12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-6461</v>
      </c>
      <c r="AN32" s="357">
        <f ca="1">_xlfn.LET(_xlpm.MVToday,DataShift!AV529,         _xlpm.MVY,DataShift!AU529,        _xlpm.MVYY, DataShift!AT529,                                IF(_xlpm.MVToday=_xlpm.MVY,_xlpm.MVY-_xlpm.MVYY,_xlpm.MVToday-_xlpm.MVY))</f>
        <v>-163876</v>
      </c>
      <c r="AO32" s="357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2">
        <f ca="1">TabCalc[[#This Row],[Y]]/TabCalc[[#This Row],[M]]</f>
        <v>0.92379663155238756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-800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3.7968863406676365E-2</v>
      </c>
      <c r="AV32" s="91">
        <f t="shared" ca="1" si="1"/>
        <v>800</v>
      </c>
      <c r="AW32" s="99">
        <f ca="1">[1]!RTData[[#This Row],[V/VA]]</f>
        <v>0.94519567236959046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0.94519567236959046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902403.60000000009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838991.60000000009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I32" s="173">
        <f ca="1">TabCalc[[#This Row],[M_V]]+TabCalc[[#This Row],[EfCost]]</f>
        <v>1107696.27</v>
      </c>
      <c r="BJ32" s="173">
        <f ca="1">IF(        OR(      TabCalc[[#This Row],[GL]]&gt;ABS(TabCalc[[#This Row],[EfCost]])),             TabCalc[[#This Row],[GL]],     0)</f>
        <v>1107696.27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45912.85604607578</v>
      </c>
      <c r="BQ32" s="189">
        <f ca="1">(TabCalc[[#This Row],[ValueBegin]]+(TabCalc[[#This Row],[M]]-TabCalc[[#This Row],[A]])*TabCalc[[#This Row],[NAfter]])*TabCalc[[#This Row],[Scale]]</f>
        <v>186315.99197530869</v>
      </c>
      <c r="BR32" s="201" cm="1">
        <f t="array" aca="1" ref="BR32" ca="1">_xlfn.XLOOKUP(TabCalc[[#This Row],[Ticker]],TabReg[[#Headers],[AAPL]:[UnknownX28]],Reg!B$57:KC$57)+3</f>
        <v>33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45912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79.260000000000005</v>
      </c>
      <c r="BX32" s="173">
        <f ca="1">TabCalc[[#This Row],[NAfter]]*(TabCalc[[#This Row],[M]]-IF(TabCalc[[#This Row],[E]]&gt;0,0,TabCalc[[#This Row],[A]]))</f>
        <v>472887.39197530865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45912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79.260000000000005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45891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2000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214.63833440652499</v>
      </c>
      <c r="CT32" s="436">
        <f ca="1">TabCalc[[#This Row],[ntoSell]]*TabCalc[[#This Row],[M]]</f>
        <v>17013.307576733205</v>
      </c>
      <c r="CU32" s="428">
        <f ca="1">IF(TabCalc[[#This Row],[M]]-TabCalc[[#This Row],[A]]&lt;=0,"",INT(DesiredSaleGain/(TabCalc[[#This Row],[M]]-IF(TabCalc[[#This Row],[E]]&gt;0,0,TabCalc[[#This Row],[A]]))))</f>
        <v>150</v>
      </c>
      <c r="CV32" s="359">
        <f ca="1">IFERROR(TabCalc[[#This Row],[NME]]*TabCalc[[#This Row],[M]],"")</f>
        <v>11889.75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472887.39197530865</v>
      </c>
      <c r="CX32" s="99">
        <f ca="1">IFERROR((TabCalc[[#This Row],[M]]+TabCalc[[#This Row],[L_Bp]])/ABS(TabCalc[[#This Row],[L_Bp]])/(TODAY()-TabCalc[[#This Row],[L_Bdate]])*360,"")</f>
        <v>2.5395566026594154</v>
      </c>
      <c r="CY32" s="333">
        <f ca="1">MEDIAN(DataShift!F727:Z727)</f>
        <v>2.2439999999999999E-3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713064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1188.44</v>
      </c>
      <c r="M33" s="799">
        <f ca="1">[1]!RTData[[#This Row],[Change%]]</f>
        <v>-1.2514000000000001E-2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0.3452714028892041</v>
      </c>
      <c r="T33" s="1059">
        <f ca="1">IFERROR(SUMPRODUCT(DataShift!F1520:Z1520,DataShift!F728:Z728)/SQRT(SUMPRODUCT(DataShift!F1520:Z1520,DataShift!F1520:Z1520)*SUMPRODUCT(DataShift!F728:Z728,DataShift!F728:Z728)),0)</f>
        <v>1.9952706885971273E-2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-8219.9999999999818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46182.000000000015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6415.9999999999854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6746.0000000000036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-8769</v>
      </c>
      <c r="AN33" s="357">
        <f ca="1">_xlfn.LET(_xlpm.MVToday,DataShift!AV530,         _xlpm.MVY,DataShift!AU530,        _xlpm.MVYY, DataShift!AT530,                                IF(_xlpm.MVToday=_xlpm.MVY,_xlpm.MVY-_xlpm.MVYY,_xlpm.MVToday-_xlpm.MVY))</f>
        <v>-10020.000000000116</v>
      </c>
      <c r="AO33" s="357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2">
        <f ca="1">TabCalc[[#This Row],[Y]]/TabCalc[[#This Row],[M]]</f>
        <v>1.1362088115512772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-2.6432285624146661</v>
      </c>
      <c r="AV33" s="91">
        <f t="shared" ca="1" si="1"/>
        <v>3400</v>
      </c>
      <c r="AW33" s="99">
        <f ca="1">[1]!RTData[[#This Row],[V/VA]]</f>
        <v>1.3793701530863187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1.3793701530863187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3181160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-859536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1534312.99</v>
      </c>
      <c r="BJ33" s="173">
        <f ca="1">IF(        OR(      TabCalc[[#This Row],[GL]]&gt;ABS(TabCalc[[#This Row],[EfCost]])),             TabCalc[[#This Row],[GL]],     0)</f>
        <v>1534312.99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45912.856344988279</v>
      </c>
      <c r="BQ33" s="189">
        <f ca="1">(TabCalc[[#This Row],[ValueBegin]]+(TabCalc[[#This Row],[M]]-TabCalc[[#This Row],[A]])*TabCalc[[#This Row],[NAfter]])*TabCalc[[#This Row],[Scale]]</f>
        <v>-1534638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37961.999999999985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155.86034912718239</v>
      </c>
      <c r="CR33" s="435">
        <f ca="1">IF(TabCalc[[#This Row],[ntoBuy]]*TabCalc[[#This Row],[M]]&lt;=0,0,TabCalc[[#This Row],[ntoBuy]]*TabCalc[[#This Row],[M]])</f>
        <v>185230.67331670865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79</v>
      </c>
      <c r="CV33" s="359">
        <f ca="1">IFERROR(TabCalc[[#This Row],[NME]]*TabCalc[[#This Row],[M]],"")</f>
        <v>93886.760000000009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37961.999999999985</v>
      </c>
      <c r="CX33" s="99">
        <f ca="1">IFERROR((TabCalc[[#This Row],[M]]+TabCalc[[#This Row],[L_Bp]])/ABS(TabCalc[[#This Row],[L_Bp]])/(TODAY()-TabCalc[[#This Row],[L_Bdate]])*360,"")</f>
        <v>-0.10927066630587727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122001.52500000001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-9.4350833427082161</v>
      </c>
      <c r="K34" s="408">
        <v>9.8524999999999991</v>
      </c>
      <c r="L34" s="409">
        <f ca="1">[1]!RTData[[#This Row],[M-Price]]</f>
        <v>4.5750000000000002</v>
      </c>
      <c r="M34" s="799">
        <f ca="1">[1]!RTData[[#This Row],[Change%]]</f>
        <v>-0.102941</v>
      </c>
      <c r="N34" s="1059">
        <v>0.42857142857142855</v>
      </c>
      <c r="O34" s="1059">
        <f>TabCalc[[#This Row],[Up20]]-1+TabCalc[[#This Row],[Up20]]</f>
        <v>-0.14285714285714285</v>
      </c>
      <c r="P34" s="1059">
        <f>TabCalc[[#This Row],[Up20]]-TabCalc[[#This Row],[Up150]]</f>
        <v>-4.1627246925260208E-2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-0.12340195740581428</v>
      </c>
      <c r="T34" s="1059">
        <f ca="1">IFERROR(SUMPRODUCT(DataShift!F1521:Z1521,DataShift!F729:Z729)/SQRT(SUMPRODUCT(DataShift!F1521:Z1521,DataShift!F1521:Z1521)*SUMPRODUCT(DataShift!F729:Z729,DataShift!F729:Z729)),0)</f>
        <v>-2.9864429626602095E-3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-2062.5000000000005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45903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2500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A34" s="225">
        <f ca="1">IFERROR(MIN(TabCalc[[#This Row],[L_B1n]],TabCalc[[#This Row],[NAfter]])*(TabCalc[[#This Row],[M]]+TabCalc[[#This Row],[L_B1p]])*TabCalc[[#This Row],[Scale]],"")</f>
        <v>-127541.34249999997</v>
      </c>
      <c r="AB34" s="222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24167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-9.8524999999999991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-9733.4550000000017</v>
      </c>
      <c r="AN34" s="357">
        <f ca="1">_xlfn.LET(_xlpm.MVToday,DataShift!AV531,         _xlpm.MVY,DataShift!AU531,        _xlpm.MVYY, DataShift!AT531,                                IF(_xlpm.MVToday=_xlpm.MVY,_xlpm.MVY-_xlpm.MVYY,_xlpm.MVToday-_xlpm.MVY))</f>
        <v>-14000.174999999974</v>
      </c>
      <c r="AO34" s="357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-266.67000000001281</v>
      </c>
      <c r="AP34" s="1192">
        <f ca="1">TabCalc[[#This Row],[Y]]/TabCalc[[#This Row],[M]]</f>
        <v>6.8852459016393439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-135.44578161592506</v>
      </c>
      <c r="AV34" s="91">
        <f t="shared" ca="1" si="1"/>
        <v>3333</v>
      </c>
      <c r="AW34" s="99">
        <f ca="1">[1]!RTData[[#This Row],[V/VA]]</f>
        <v>1.2741240486159375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1.2741240486159375</v>
      </c>
      <c r="AZ34" s="96" cm="1">
        <f t="array" aca="1" ref="AZ34" ca="1">INDEX(TabReg[], 1, _xlfn.XMATCH(TabCalc[[#This Row],[Ticker]]&amp;1, TabReg[#Headers], 0))</f>
        <v>24167</v>
      </c>
      <c r="BA34" s="173">
        <f ca="1">TabCalc[[#This Row],[Nbegin]]*TabCalc[[#This Row],[M]]*TabCalc[[#This Row],[Scale]]+TabCalc[[#This Row],[ValueBegin]]</f>
        <v>101550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-215276.35408125</v>
      </c>
      <c r="BD34" s="358">
        <f ca="1">IF(TabCalc[[#This Row],[EfCost]]&gt;TabCalc[[#This Row],[ValueBegin]],       0,        TabCalc[[#This Row],[EfCost]]-TabCalc[[#This Row],[ValueBegin]]*(1+Commission))</f>
        <v>-215816.11749999999</v>
      </c>
      <c r="BE34" s="359">
        <f ca="1">TabCalc[[#This Row],[M_V]]+TabCalc[[#This Row],[ValueBegin]]</f>
        <v>86301.525000000009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-129603.84249999998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45912.852243657035</v>
      </c>
      <c r="BQ34" s="189">
        <f ca="1">(TabCalc[[#This Row],[ValueBegin]]+(TabCalc[[#This Row],[M]]-TabCalc[[#This Row],[A]])*TabCalc[[#This Row],[NAfter]])*TabCalc[[#This Row],[Scale]]</f>
        <v>-176435.09249999997</v>
      </c>
      <c r="BR34" s="201" cm="1">
        <f t="array" aca="1" ref="BR34" ca="1">_xlfn.XLOOKUP(TabCalc[[#This Row],[Ticker]],TabReg[[#Headers],[AAPL]:[UnknownX28]],Reg!B$57:KC$57)+3</f>
        <v>5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45903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2500</v>
      </c>
      <c r="BW34" s="204" cm="1">
        <f t="array" aca="1" ref="BW34" ca="1">INDEX(Reg!$A$1:$KC$58,TabCalc[[#This Row],[L_I1]],TabCalc[[#This Row],[L_I2]]+1)</f>
        <v>-5.4</v>
      </c>
      <c r="BX34" s="173">
        <f ca="1">TabCalc[[#This Row],[NAfter]]*(TabCalc[[#This Row],[M]]-IF(TabCalc[[#This Row],[E]]&gt;0,0,TabCalc[[#This Row],[A]]))</f>
        <v>-140735.09249999997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2500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45903</v>
      </c>
      <c r="CI34" s="189" cm="1">
        <f t="array" aca="1" ref="CI34" ca="1">MAX(_xlfn._xlws.FILTER(INDIRECT("TabReg["&amp;TabCalc[[#This Row],[Ticker]]&amp;"1]"), INDIRECT("TabReg["&amp;TabCalc[[#This Row],[Ticker]]&amp;"2]")&lt;0))</f>
        <v>24167</v>
      </c>
      <c r="CJ34" s="185" cm="1">
        <f t="array" aca="1" ref="CJ34" ca="1">MAX(_xlfn._xlws.FILTER(INDIRECT("TabReg["&amp;TabCalc[[#This Row],[Ticker]]&amp;"2]"), INDIRECT("TabReg["&amp;TabCalc[[#This Row],[Ticker]]&amp;"2]")&lt;0))</f>
        <v>-5.4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45902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24167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45903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2500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-140735.09249999997</v>
      </c>
      <c r="CX34" s="99">
        <f ca="1">IFERROR((TabCalc[[#This Row],[M]]+TabCalc[[#This Row],[L_Bp]])/ABS(TabCalc[[#This Row],[L_Bp]])/(TODAY()-TabCalc[[#This Row],[L_Bdate]])*360,"")</f>
        <v>-6.1111111111111116</v>
      </c>
      <c r="CY34" s="333">
        <f ca="1">MEDIAN(DataShift!F729:Z729)</f>
        <v>-1.5075E-2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146760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36.69</v>
      </c>
      <c r="M35" s="799">
        <f ca="1">[1]!RTData[[#This Row],[Change%]]</f>
        <v>-3.5310000000000003E-3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5.6033181468052584E-2</v>
      </c>
      <c r="T35" s="1059">
        <f ca="1">IFERROR(SUMPRODUCT(DataShift!F1522:Z1522,DataShift!F730:Z730)/SQRT(SUMPRODUCT(DataShift!F1522:Z1522,DataShift!F1522:Z1522)*SUMPRODUCT(DataShift!F730:Z730,DataShift!F730:Z730)),0)</f>
        <v>-0.100692106092166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9159.9999999999964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12269.999999999996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-4659.9999999999964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-18029.999999999993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-3160</v>
      </c>
      <c r="AN35" s="357">
        <f ca="1">_xlfn.LET(_xlpm.MVToday,DataShift!AV532,         _xlpm.MVY,DataShift!AU532,        _xlpm.MVYY, DataShift!AT532,                                IF(_xlpm.MVToday=_xlpm.MVY,_xlpm.MVY-_xlpm.MVYY,_xlpm.MVToday-_xlpm.MVY))</f>
        <v>-564.80000000001746</v>
      </c>
      <c r="AO35" s="357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2">
        <f ca="1">TabCalc[[#This Row],[Y]]/TabCalc[[#This Row],[M]]</f>
        <v>1.0186699373126193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-2.3439200897695925E-4</v>
      </c>
      <c r="AV35" s="91">
        <f t="shared" ref="AV35:AV66" ca="1" si="3">IF(G35&lt;C35,C35-G35,0)</f>
        <v>0</v>
      </c>
      <c r="AW35" s="99">
        <f ca="1">[1]!RTData[[#This Row],[V/VA]]</f>
        <v>1.2569074724340359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1.2569074724340359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23190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59880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77157.299999999988</v>
      </c>
      <c r="BJ35" s="173">
        <f ca="1">IF(        OR(      TabCalc[[#This Row],[GL]]&gt;ABS(TabCalc[[#This Row],[EfCost]])),             TabCalc[[#This Row],[GL]],     0)</f>
        <v>77157.299999999988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45912.855599189061</v>
      </c>
      <c r="BQ35" s="189">
        <f ca="1">(TabCalc[[#This Row],[ValueBegin]]+(TabCalc[[#This Row],[M]]-TabCalc[[#This Row],[A]])*TabCalc[[#This Row],[NAfter]])*TabCalc[[#This Row],[Scale]]</f>
        <v>-37990.000000000015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48889.999999999985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545.85152838427973</v>
      </c>
      <c r="CT35" s="436">
        <f ca="1">TabCalc[[#This Row],[ntoSell]]*TabCalc[[#This Row],[M]]</f>
        <v>20027.292576419222</v>
      </c>
      <c r="CU35" s="428">
        <f ca="1">IF(TabCalc[[#This Row],[M]]-TabCalc[[#This Row],[A]]&lt;=0,"",INT(DesiredSaleGain/(TabCalc[[#This Row],[M]]-IF(TabCalc[[#This Row],[E]]&gt;0,0,TabCalc[[#This Row],[A]]))))</f>
        <v>409</v>
      </c>
      <c r="CV35" s="359">
        <f ca="1">IFERROR(TabCalc[[#This Row],[NME]]*TabCalc[[#This Row],[M]],"")</f>
        <v>15006.21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48889.999999999985</v>
      </c>
      <c r="CX35" s="99">
        <f ca="1">IFERROR((TabCalc[[#This Row],[M]]+TabCalc[[#This Row],[L_Bp]])/ABS(TabCalc[[#This Row],[L_Bp]])/(TODAY()-TabCalc[[#This Row],[L_Bdate]])*360,"")</f>
        <v>1.5556111160905925</v>
      </c>
      <c r="CY35" s="333">
        <f ca="1">MEDIAN(DataShift!F730:Z730)</f>
        <v>-3.5310000000000003E-3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8080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4.04</v>
      </c>
      <c r="M36" s="799">
        <f ca="1">[1]!RTData[[#This Row],[Change%]]</f>
        <v>2.0202000000000001E-2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-0.52345415058724376</v>
      </c>
      <c r="T36" s="1059">
        <f ca="1">IFERROR(SUMPRODUCT(DataShift!F1523:Z1523,DataShift!F731:Z731)/SQRT(SUMPRODUCT(DataShift!F1523:Z1523,DataShift!F1523:Z1523)*SUMPRODUCT(DataShift!F731:Z731,DataShift!F731:Z731)),0)</f>
        <v>-9.4092412962764577E-2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-4369.7999999999993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-7979.9999999999991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5779.9999999999991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64353.000000000007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60</v>
      </c>
      <c r="AN36" s="357">
        <f ca="1">_xlfn.LET(_xlpm.MVToday,DataShift!AV533,         _xlpm.MVY,DataShift!AU533,        _xlpm.MVYY, DataShift!AT533,                                IF(_xlpm.MVToday=_xlpm.MVY,_xlpm.MVY-_xlpm.MVYY,_xlpm.MVToday-_xlpm.MVY))</f>
        <v>120</v>
      </c>
      <c r="AO36" s="357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2">
        <f ca="1">TabCalc[[#This Row],[Y]]/TabCalc[[#This Row],[M]]</f>
        <v>2.995049504950495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-10.711206447917515</v>
      </c>
      <c r="AV36" s="91">
        <f t="shared" ca="1" si="3"/>
        <v>4000</v>
      </c>
      <c r="AW36" s="99">
        <f ca="1">[1]!RTData[[#This Row],[V/VA]]</f>
        <v>0.42163988474349978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0.42163988474349978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-66900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-83060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-1852.6199999999735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6.68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45912.840323101562</v>
      </c>
      <c r="BQ36" s="189">
        <f ca="1">(TabCalc[[#This Row],[ValueBegin]]+(TabCalc[[#This Row],[M]]-TabCalc[[#This Row],[A]])*TabCalc[[#This Row],[NAfter]])*TabCalc[[#This Row],[Scale]]</f>
        <v>-95509.8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-4369.7999999999993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1730.103806228374</v>
      </c>
      <c r="CR36" s="435">
        <f ca="1">IF(TabCalc[[#This Row],[ntoBuy]]*TabCalc[[#This Row],[M]]&lt;=0,0,TabCalc[[#This Row],[ntoBuy]]*TabCalc[[#This Row],[M]])</f>
        <v>6989.6193771626313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-4369.7999999999993</v>
      </c>
      <c r="CX36" s="99">
        <f ca="1">IFERROR((TabCalc[[#This Row],[M]]+TabCalc[[#This Row],[L_Bp]])/ABS(TabCalc[[#This Row],[L_Bp]])/(TODAY()-TabCalc[[#This Row],[L_Bdate]])*360,"")</f>
        <v>-0.59602685138232114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262000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5.24</v>
      </c>
      <c r="M37" s="799">
        <f ca="1">[1]!RTData[[#This Row],[Change%]]</f>
        <v>-1.6886000000000002E-2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0.31676613095296957</v>
      </c>
      <c r="T37" s="1059">
        <f ca="1">IFERROR(SUMPRODUCT(DataShift!F1524:Z1524,DataShift!F732:Z732)/SQRT(SUMPRODUCT(DataShift!F1524:Z1524,DataShift!F1524:Z1524)*SUMPRODUCT(DataShift!F732:Z732,DataShift!F732:Z732)),0)</f>
        <v>-6.0738922679688882E-2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300.00000000000028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10220.000000000004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3149.9999999999995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9550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-9500</v>
      </c>
      <c r="AN37" s="357">
        <f ca="1">_xlfn.LET(_xlpm.MVToday,DataShift!AV534,         _xlpm.MVY,DataShift!AU534,        _xlpm.MVYY, DataShift!AT534,                                IF(_xlpm.MVToday=_xlpm.MVY,_xlpm.MVY-_xlpm.MVYY,_xlpm.MVToday-_xlpm.MVY))</f>
        <v>-5250</v>
      </c>
      <c r="AO37" s="357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2">
        <f ca="1">TabCalc[[#This Row],[Y]]/TabCalc[[#This Row],[M]]</f>
        <v>1.2659026717557251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-7.7821406150588718E-2</v>
      </c>
      <c r="AV37" s="91">
        <f t="shared" ca="1" si="3"/>
        <v>0</v>
      </c>
      <c r="AW37" s="99">
        <f ca="1">[1]!RTData[[#This Row],[V/VA]]</f>
        <v>0.79450942441704131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0.79450942441704131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-59884.510000000009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-33684.510000000009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-34457.510000000009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9.14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45912.850374039066</v>
      </c>
      <c r="BQ37" s="189">
        <f ca="1">(TabCalc[[#This Row],[ValueBegin]]+(TabCalc[[#This Row],[M]]-TabCalc[[#This Row],[A]])*TabCalc[[#This Row],[NAfter]])*TabCalc[[#This Row],[Scale]]</f>
        <v>-324172.35111111111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-28487.841111111091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3968.2539682539691</v>
      </c>
      <c r="CR37" s="435">
        <f ca="1">IF(TabCalc[[#This Row],[ntoBuy]]*TabCalc[[#This Row],[M]]&lt;=0,0,TabCalc[[#This Row],[ntoBuy]]*TabCalc[[#This Row],[M]])</f>
        <v>20793.650793650799</v>
      </c>
      <c r="CS37" s="435">
        <f ca="1">IF(TabCalc[[#This Row],[M]]&gt;ABS(TabCalc[[#This Row],[L_Bp]]),MIN(TabCalc[[#This Row],[NAfter]],DesiredSaleGain/(TabCalc[[#This Row],[M]]+TabCalc[[#This Row],[L_Bp]])),0)/TabCalc[[#This Row],[Scale]]</f>
        <v>41666.666666666628</v>
      </c>
      <c r="CT37" s="436">
        <f ca="1">TabCalc[[#This Row],[ntoSell]]*TabCalc[[#This Row],[M]]</f>
        <v>218333.33333333314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-28487.841111111091</v>
      </c>
      <c r="CX37" s="99">
        <f ca="1">IFERROR((TabCalc[[#This Row],[M]]+TabCalc[[#This Row],[L_Bp]])/ABS(TabCalc[[#This Row],[L_Bp]])/(TODAY()-TabCalc[[#This Row],[L_Bdate]])*360,"")</f>
        <v>0.10680379746835453</v>
      </c>
      <c r="CY37" s="333">
        <f ca="1">MEDIAN(DataShift!F732:Z732)</f>
        <v>-1.6886000000000002E-2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10300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1.03</v>
      </c>
      <c r="M38" s="799">
        <f ca="1">[1]!RTData[[#This Row],[Change%]]</f>
        <v>9.8040000000000002E-3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-0.21942334784841816</v>
      </c>
      <c r="T38" s="1059">
        <f ca="1">IFERROR(SUMPRODUCT(DataShift!F1525:Z1525,DataShift!F733:Z733)/SQRT(SUMPRODUCT(DataShift!F1525:Z1525,DataShift!F1525:Z1525)*SUMPRODUCT(DataShift!F733:Z733,DataShift!F733:Z733)),0)</f>
        <v>-0.30310810359937129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-10,353 = $ -10,664</v>
      </c>
      <c r="W38" s="225">
        <f ca="1">MIN(TabCalc[[#This Row],[L_Bn]],TabCalc[[#This Row],[NAfter]])*(TabCalc[[#This Row],[M]]+TabCalc[[#This Row],[L_Bp]])*TabCalc[[#This Row],[Scale]]</f>
        <v>-993.99299999999994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541.08000000000015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1533.06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1082.1599999999996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38" s="357">
        <f ca="1">_xlfn.LET(_xlpm.MVToday,DataShift!AV535,         _xlpm.MVY,DataShift!AU535,        _xlpm.MVYY, DataShift!AT535,                                IF(_xlpm.MVToday=_xlpm.MVY,_xlpm.MVY-_xlpm.MVYY,_xlpm.MVToday-_xlpm.MVY))</f>
        <v>0</v>
      </c>
      <c r="AO38" s="357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400</v>
      </c>
      <c r="AP38" s="1192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0.1061239405557194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0.1061239405557194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-6410.85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799.14999999999964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-4210.1429999999964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2.07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45912.852814258593</v>
      </c>
      <c r="BQ38" s="189">
        <f ca="1">(TabCalc[[#This Row],[ValueBegin]]+(TabCalc[[#This Row],[M]]-TabCalc[[#This Row],[A]])*TabCalc[[#This Row],[NAfter]])*TabCalc[[#This Row],[Scale]]</f>
        <v>-9864.2502000000004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-363.40019999999919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9803.9215686274511</v>
      </c>
      <c r="CR38" s="435">
        <f ca="1">IF(TabCalc[[#This Row],[ntoBuy]]*TabCalc[[#This Row],[M]]&lt;=0,0,TabCalc[[#This Row],[ntoBuy]]*TabCalc[[#This Row],[M]])</f>
        <v>10098.039215686274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-363.40019999999919</v>
      </c>
      <c r="CX38" s="99">
        <f ca="1">IFERROR((TabCalc[[#This Row],[M]]+TabCalc[[#This Row],[L_Bp]])/ABS(TabCalc[[#This Row],[L_Bp]])/(TODAY()-TabCalc[[#This Row],[L_Bdate]])*360,"")</f>
        <v>-0.21389222459760579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75920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37.96</v>
      </c>
      <c r="M39" s="799">
        <f ca="1">[1]!RTData[[#This Row],[Change%]]</f>
        <v>3.7019999999999996E-3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0.64682688546817257</v>
      </c>
      <c r="T39" s="1059">
        <f ca="1">IFERROR(SUMPRODUCT(DataShift!F1526:Z1526,DataShift!F734:Z734)/SQRT(SUMPRODUCT(DataShift!F1526:Z1526,DataShift!F1526:Z1526)*SUMPRODUCT(DataShift!F734:Z734,DataShift!F734:Z734)),0)</f>
        <v>-0.19873287283396071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38620.000000000007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37148.83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759.99999999999795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3460.0000000000009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360</v>
      </c>
      <c r="AN39" s="357">
        <f ca="1">_xlfn.LET(_xlpm.MVToday,DataShift!AV536,         _xlpm.MVY,DataShift!AU536,        _xlpm.MVYY, DataShift!AT536,                                IF(_xlpm.MVToday=_xlpm.MVY,_xlpm.MVY-_xlpm.MVYY,_xlpm.MVToday-_xlpm.MVY))</f>
        <v>312.79999999998836</v>
      </c>
      <c r="AO39" s="357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2">
        <f ca="1">TabCalc[[#This Row],[Y]]/TabCalc[[#This Row],[M]]</f>
        <v>1.0097471022128555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-3.4812895719799355E-5</v>
      </c>
      <c r="AV39" s="91">
        <f t="shared" ca="1" si="3"/>
        <v>700</v>
      </c>
      <c r="AW39" s="99">
        <f ca="1">[1]!RTData[[#This Row],[V/VA]]</f>
        <v>0.44301253665774809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0.44301253665774809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2802.4700000001321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-23769.529999999868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137156.71000000014</v>
      </c>
      <c r="BJ39" s="173">
        <f ca="1">IF(        OR(      TabCalc[[#This Row],[GL]]&gt;ABS(TabCalc[[#This Row],[EfCost]])),             TabCalc[[#This Row],[GL]],     0)</f>
        <v>137156.71000000014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45912.840323228906</v>
      </c>
      <c r="BQ39" s="189">
        <f ca="1">(TabCalc[[#This Row],[ValueBegin]]+(TabCalc[[#This Row],[M]]-TabCalc[[#This Row],[A]])*TabCalc[[#This Row],[NAfter]])*TabCalc[[#This Row],[Scale]]</f>
        <v>-61069.529999999861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38620.000000000007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6578.9473684210698</v>
      </c>
      <c r="CR39" s="435">
        <f ca="1">IF(TabCalc[[#This Row],[ntoBuy]]*TabCalc[[#This Row],[M]]&lt;=0,0,TabCalc[[#This Row],[ntoBuy]]*TabCalc[[#This Row],[M]])</f>
        <v>249736.84210526382</v>
      </c>
      <c r="CS39" s="435">
        <f ca="1">IF(TabCalc[[#This Row],[M]]&gt;ABS(TabCalc[[#This Row],[L_Bp]]),MIN(TabCalc[[#This Row],[NAfter]],DesiredSaleGain/(TabCalc[[#This Row],[M]]+TabCalc[[#This Row],[L_Bp]])),0)/TabCalc[[#This Row],[Scale]]</f>
        <v>258.93319523562917</v>
      </c>
      <c r="CT39" s="436">
        <f ca="1">TabCalc[[#This Row],[ntoSell]]*TabCalc[[#This Row],[M]]</f>
        <v>9829.1040911444834</v>
      </c>
      <c r="CU39" s="428">
        <f ca="1">IF(TabCalc[[#This Row],[M]]-TabCalc[[#This Row],[A]]&lt;=0,"",INT(DesiredSaleGain/(TabCalc[[#This Row],[M]]-IF(TabCalc[[#This Row],[E]]&gt;0,0,TabCalc[[#This Row],[A]]))))</f>
        <v>258</v>
      </c>
      <c r="CV39" s="359">
        <f ca="1">IFERROR(TabCalc[[#This Row],[NME]]*TabCalc[[#This Row],[M]],"")</f>
        <v>9793.68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38620.000000000007</v>
      </c>
      <c r="CX39" s="99">
        <f ca="1">IFERROR((TabCalc[[#This Row],[M]]+TabCalc[[#This Row],[L_Bp]])/ABS(TabCalc[[#This Row],[L_Bp]])/(TODAY()-TabCalc[[#This Row],[L_Bdate]])*360,"")</f>
        <v>4.7182271693759121</v>
      </c>
      <c r="CY39" s="333">
        <f ca="1">MEDIAN(DataShift!F734:Z734)</f>
        <v>1.1578E-2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1796.5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35.93</v>
      </c>
      <c r="M40" s="799">
        <f ca="1">[1]!RTData[[#This Row],[Change%]]</f>
        <v>5.0349999999999995E-3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-0.12353048037209927</v>
      </c>
      <c r="T40" s="1059">
        <f ca="1">IFERROR(SUMPRODUCT(DataShift!F1527:Z1527,DataShift!F735:Z735)/SQRT(SUMPRODUCT(DataShift!F1527:Z1527,DataShift!F1527:Z1527)*SUMPRODUCT(DataShift!F735:Z735,DataShift!F735:Z735)),0)</f>
        <v>-0.32822010107760569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377.99999999999994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334.75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-8224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-5534.9999999999964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-1.0000000000002274</v>
      </c>
      <c r="AN40" s="357">
        <f ca="1">_xlfn.LET(_xlpm.MVToday,DataShift!AV537,         _xlpm.MVY,DataShift!AU537,        _xlpm.MVYY, DataShift!AT537,                                IF(_xlpm.MVToday=_xlpm.MVY,_xlpm.MVY-_xlpm.MVYY,_xlpm.MVToday-_xlpm.MVY))</f>
        <v>9</v>
      </c>
      <c r="AO40" s="357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-5.5</v>
      </c>
      <c r="AP40" s="1192">
        <f ca="1">TabCalc[[#This Row],[Y]]/TabCalc[[#This Row],[M]]</f>
        <v>1.1942975229613138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40" s="91">
        <f t="shared" ca="1" si="3"/>
        <v>29950</v>
      </c>
      <c r="AW40" s="99">
        <f ca="1">[1]!RTData[[#This Row],[V/VA]]</f>
        <v>0.95258558395808868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0.95258558395808868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63837.960000000079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-1012265.5399999999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35929.852499999921</v>
      </c>
      <c r="BJ40" s="173">
        <f ca="1">IF(        OR(      TabCalc[[#This Row],[GL]]&gt;ABS(TabCalc[[#This Row],[EfCost]])),             TabCalc[[#This Row],[GL]],     0)</f>
        <v>35929.852499999921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45912.770833333336</v>
      </c>
      <c r="BQ40" s="189">
        <f ca="1">(TabCalc[[#This Row],[ValueBegin]]+(TabCalc[[#This Row],[M]]-TabCalc[[#This Row],[A]])*TabCalc[[#This Row],[NAfter]])*TabCalc[[#This Row],[Scale]]</f>
        <v>-1013684.0399999999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377.99999999999994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1796.5</v>
      </c>
      <c r="CU40" s="428">
        <f ca="1">IF(TabCalc[[#This Row],[M]]-TabCalc[[#This Row],[A]]&lt;=0,"",INT(DesiredSaleGain/(TabCalc[[#This Row],[M]]-IF(TabCalc[[#This Row],[E]]&gt;0,0,TabCalc[[#This Row],[A]]))))</f>
        <v>661</v>
      </c>
      <c r="CV40" s="359">
        <f ca="1">IFERROR(TabCalc[[#This Row],[NME]]*TabCalc[[#This Row],[M]],"")</f>
        <v>23749.73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377.99999999999994</v>
      </c>
      <c r="CX40" s="99">
        <f ca="1">IFERROR((TabCalc[[#This Row],[M]]+TabCalc[[#This Row],[L_Bp]])/ABS(TabCalc[[#This Row],[L_Bp]])/(TODAY()-TabCalc[[#This Row],[L_Bdate]])*360,"")</f>
        <v>0.4634411733153514</v>
      </c>
      <c r="CY40" s="333">
        <f ca="1">MEDIAN(DataShift!F735:Z735)</f>
        <v>1.9889999999999999E-3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552250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220.9</v>
      </c>
      <c r="M41" s="799">
        <f ca="1">[1]!RTData[[#This Row],[Change%]]</f>
        <v>5.004999999999999E-3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-0.58178568760332439</v>
      </c>
      <c r="T41" s="1059">
        <f ca="1">IFERROR(SUMPRODUCT(DataShift!F1528:Z1528,DataShift!F736:Z736)/SQRT(SUMPRODUCT(DataShift!F1528:Z1528,DataShift!F1528:Z1528)*SUMPRODUCT(DataShift!F736:Z736,DataShift!F736:Z736)),0)</f>
        <v>0.21877940673579935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-5763.4499999999916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-14974.999999999995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22075.000000000004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26124.999999999985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2500</v>
      </c>
      <c r="AN41" s="357">
        <f ca="1">_xlfn.LET(_xlpm.MVToday,DataShift!AV538,         _xlpm.MVY,DataShift!AU538,        _xlpm.MVYY, DataShift!AT538,                                IF(_xlpm.MVToday=_xlpm.MVY,_xlpm.MVY-_xlpm.MVYY,_xlpm.MVToday-_xlpm.MVY))</f>
        <v>2750</v>
      </c>
      <c r="AO41" s="357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-9750</v>
      </c>
      <c r="AP41" s="1192">
        <f ca="1">TabCalc[[#This Row],[Y]]/TabCalc[[#This Row],[M]]</f>
        <v>1.3214593481213219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41" s="91">
        <f t="shared" ca="1" si="3"/>
        <v>0</v>
      </c>
      <c r="AW41" s="99">
        <f ca="1">[1]!RTData[[#This Row],[V/VA]]</f>
        <v>1.0463940754867882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1.0463940754867882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191776.95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412676.95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20048.974999999977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332.63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45912.770833333336</v>
      </c>
      <c r="BQ41" s="189">
        <f ca="1">(TabCalc[[#This Row],[ValueBegin]]+(TabCalc[[#This Row],[M]]-TabCalc[[#This Row],[A]])*TabCalc[[#This Row],[NAfter]])*TabCalc[[#This Row],[Scale]]</f>
        <v>-210195.78999999992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-70622.739999999947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113.2502831257078</v>
      </c>
      <c r="CR41" s="435">
        <f ca="1">IF(TabCalc[[#This Row],[ntoBuy]]*TabCalc[[#This Row],[M]]&lt;=0,0,TabCalc[[#This Row],[ntoBuy]]*TabCalc[[#This Row],[M]])</f>
        <v>25016.987542468854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-70622.739999999947</v>
      </c>
      <c r="CX41" s="99">
        <f ca="1">IFERROR((TabCalc[[#This Row],[M]]+TabCalc[[#This Row],[L_Bp]])/ABS(TabCalc[[#This Row],[L_Bp]])/(TODAY()-TabCalc[[#This Row],[L_Bdate]])*360,"")</f>
        <v>-0.5770231544765082</v>
      </c>
      <c r="CY41" s="333">
        <f ca="1">MEDIAN(DataShift!F736:Z736)</f>
        <v>1.0560000000000001E-3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341780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14.86</v>
      </c>
      <c r="M42" s="799">
        <f ca="1">[1]!RTData[[#This Row],[Change%]]</f>
        <v>-1.3934999999999999E-2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0.60045539755425803</v>
      </c>
      <c r="T42" s="1059">
        <f ca="1">IFERROR(SUMPRODUCT(DataShift!F1529:Z1529,DataShift!F737:Z737)/SQRT(SUMPRODUCT(DataShift!F1529:Z1529,DataShift!F1529:Z1529)*SUMPRODUCT(DataShift!F737:Z737,DataShift!F737:Z737)),0)</f>
        <v>-8.5776962185005481E-2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-26,440 = $ -392,899</v>
      </c>
      <c r="W42" s="225">
        <f ca="1">MIN(TabCalc[[#This Row],[L_Bn]],TabCalc[[#This Row],[NAfter]])*(TabCalc[[#This Row],[M]]+TabCalc[[#This Row],[L_Bp]])*TabCalc[[#This Row],[Scale]]</f>
        <v>-1769.9999999999995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2766.7999999999965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6161.0000000000018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1760.000000000005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-1150</v>
      </c>
      <c r="AN42" s="357">
        <f ca="1">_xlfn.LET(_xlpm.MVToday,DataShift!AV539,         _xlpm.MVY,DataShift!AU539,        _xlpm.MVYY, DataShift!AT539,                                IF(_xlpm.MVToday=_xlpm.MVY,_xlpm.MVY-_xlpm.MVYY,_xlpm.MVToday-_xlpm.MVY))</f>
        <v>-4715</v>
      </c>
      <c r="AO42" s="357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2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2.7535437294080589E-2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2.7535437294080589E-2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45578.540000000008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201608.54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64977.339999999967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45912.833333333336</v>
      </c>
      <c r="BQ42" s="189">
        <f ca="1">(TabCalc[[#This Row],[ValueBegin]]+(TabCalc[[#This Row],[M]]-TabCalc[[#This Row],[A]])*TabCalc[[#This Row],[NAfter]])*TabCalc[[#This Row],[Scale]]</f>
        <v>-191284.66000000003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-51113.200000000041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811.55656549261471</v>
      </c>
      <c r="CR42" s="435">
        <f ca="1">IF(TabCalc[[#This Row],[ntoBuy]]*TabCalc[[#This Row],[M]]&lt;=0,0,TabCalc[[#This Row],[ntoBuy]]*TabCalc[[#This Row],[M]])</f>
        <v>12059.730563220253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-51113.200000000041</v>
      </c>
      <c r="CX42" s="99">
        <f ca="1">IFERROR((TabCalc[[#This Row],[M]]+TabCalc[[#This Row],[L_Bp]])/ABS(TabCalc[[#This Row],[L_Bp]])/(TODAY()-TabCalc[[#This Row],[L_Bdate]])*360,"")</f>
        <v>-0.17401990905739212</v>
      </c>
      <c r="CY42" s="333">
        <f ca="1">MEDIAN(DataShift!F737:Z737)</f>
        <v>-1.276E-3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156960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9.81</v>
      </c>
      <c r="M43" s="799">
        <f ca="1">[1]!RTData[[#This Row],[Change%]]</f>
        <v>-4.0610000000000004E-3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-0.40383572590606215</v>
      </c>
      <c r="T43" s="1059">
        <f ca="1">IFERROR(SUMPRODUCT(DataShift!F1530:Z1530,DataShift!F738:Z738)/SQRT(SUMPRODUCT(DataShift!F1530:Z1530,DataShift!F1530:Z1530)*SUMPRODUCT(DataShift!F738:Z738,DataShift!F738:Z738)),0)</f>
        <v>-1.2366289935707297E-2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72,037 = $ 706,682</v>
      </c>
      <c r="W43" s="225">
        <f ca="1">MIN(TabCalc[[#This Row],[L_Bn]],TabCalc[[#This Row],[NAfter]])*(TabCalc[[#This Row],[M]]+TabCalc[[#This Row],[L_Bp]])*TabCalc[[#This Row],[Scale]]</f>
        <v>1680.0000000000016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2774.0000000000009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8872.5998999999993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2199.9999999999959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-320</v>
      </c>
      <c r="AN43" s="357">
        <f ca="1">_xlfn.LET(_xlpm.MVToday,DataShift!AV540,         _xlpm.MVY,DataShift!AU540,        _xlpm.MVYY, DataShift!AT540,                                IF(_xlpm.MVToday=_xlpm.MVY,_xlpm.MVY-_xlpm.MVYY,_xlpm.MVToday-_xlpm.MVY))</f>
        <v>-880</v>
      </c>
      <c r="AO43" s="357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2">
        <f ca="1">TabCalc[[#This Row],[Y]]/TabCalc[[#This Row],[M]]</f>
        <v>1.3591569826707441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-0.33438926732598667</v>
      </c>
      <c r="AV43" s="91">
        <f t="shared" ca="1" si="3"/>
        <v>0</v>
      </c>
      <c r="AW43" s="99">
        <f ca="1">[1]!RTData[[#This Row],[V/VA]]</f>
        <v>0.51827453699690851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0.51827453699690851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-718247.52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-718247.52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-699564.32010000001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81.07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45912.854248517971</v>
      </c>
      <c r="BQ43" s="189">
        <f ca="1">(TabCalc[[#This Row],[ValueBegin]]+(TabCalc[[#This Row],[M]]-TabCalc[[#This Row],[A]])*TabCalc[[#This Row],[NAfter]])*TabCalc[[#This Row],[Scale]]</f>
        <v>-1185393.4099999999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-310185.88999999996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1690.5980399273951</v>
      </c>
      <c r="CR43" s="435">
        <f ca="1">IF(TabCalc[[#This Row],[ntoBuy]]*TabCalc[[#This Row],[M]]&lt;=0,0,TabCalc[[#This Row],[ntoBuy]]*TabCalc[[#This Row],[M]])</f>
        <v>16584.766771687748</v>
      </c>
      <c r="CS43" s="435">
        <f ca="1">IF(TabCalc[[#This Row],[M]]&gt;ABS(TabCalc[[#This Row],[L_Bp]]),MIN(TabCalc[[#This Row],[NAfter]],DesiredSaleGain/(TabCalc[[#This Row],[M]]+TabCalc[[#This Row],[L_Bp]])),0)/TabCalc[[#This Row],[Scale]]</f>
        <v>8928.5714285714203</v>
      </c>
      <c r="CT43" s="436">
        <f ca="1">TabCalc[[#This Row],[ntoSell]]*TabCalc[[#This Row],[M]]</f>
        <v>87589.285714285637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-310185.88999999996</v>
      </c>
      <c r="CX43" s="99">
        <f ca="1">IFERROR((TabCalc[[#This Row],[M]]+TabCalc[[#This Row],[L_Bp]])/ABS(TabCalc[[#This Row],[L_Bp]])/(TODAY()-TabCalc[[#This Row],[L_Bdate]])*360,"")</f>
        <v>8.788142981691377E-2</v>
      </c>
      <c r="CY43" s="333">
        <f ca="1">MEDIAN(DataShift!F738:Z738)</f>
        <v>-7.7149999999999996E-3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3959.4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395.94</v>
      </c>
      <c r="M44" s="799">
        <f ca="1">[1]!RTData[[#This Row],[Change%]]</f>
        <v>7.3561000000000001E-2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-1.3875748975086755E-2</v>
      </c>
      <c r="Q44" s="1059">
        <v>0.49006622516556292</v>
      </c>
      <c r="R44" s="1059">
        <f>TabCalc[[#This Row],[Up150]]-1+TabCalc[[#This Row],[Up150]]</f>
        <v>-1.9867549668874107E-2</v>
      </c>
      <c r="S44" s="1059">
        <f ca="1">IFERROR(SUMPRODUCT(DataShift!F1531:Z1531,DataShift!AB739:AV739)/SQRT(SUMPRODUCT(DataShift!F1531:Z1531,DataShift!F1531:Z1531)*SUMPRODUCT(DataShift!AB739:AV739,DataShift!AB739:AV739)),0)</f>
        <v>2.5353043126174681E-2</v>
      </c>
      <c r="T44" s="1059">
        <f ca="1">IFERROR(SUMPRODUCT(DataShift!F1531:Z1531,DataShift!F739:Z739)/SQRT(SUMPRODUCT(DataShift!F1531:Z1531,DataShift!F1531:Z1531)*SUMPRODUCT(DataShift!F739:Z739,DataShift!F739:Z739)),0)</f>
        <v>-0.57887629625586523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 = $ -1,584</v>
      </c>
      <c r="W44" s="225">
        <f ca="1">MIN(TabCalc[[#This Row],[L_Bn]],TabCalc[[#This Row],[NAfter]])*(TabCalc[[#This Row],[M]]+TabCalc[[#This Row],[L_Bp]])*TabCalc[[#This Row],[Scale]]</f>
        <v>594.30000000000007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137.7800000000002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-24183.899999999998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-7727.9999999999973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250</v>
      </c>
      <c r="AN44" s="357">
        <f ca="1">_xlfn.LET(_xlpm.MVToday,DataShift!AV541,         _xlpm.MVY,DataShift!AU541,        _xlpm.MVYY, DataShift!AT541,                                IF(_xlpm.MVToday=_xlpm.MVY,_xlpm.MVY-_xlpm.MVYY,_xlpm.MVToday-_xlpm.MVY))</f>
        <v>275.29999999999973</v>
      </c>
      <c r="AO44" s="357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2">
        <f ca="1">TabCalc[[#This Row],[Y]]/TabCalc[[#This Row],[M]]</f>
        <v>0.78429585290700621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5.0666971334372226</v>
      </c>
      <c r="AV44" s="91">
        <f t="shared" ca="1" si="3"/>
        <v>490</v>
      </c>
      <c r="AW44" s="99">
        <f ca="1">[1]!RTData[[#This Row],[V/VA]]</f>
        <v>2.1738133239969519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2.1738133239969519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111696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-82314.600000000006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87337.299999999988</v>
      </c>
      <c r="BJ44" s="173">
        <f ca="1">IF(        OR(      TabCalc[[#This Row],[GL]]&gt;ABS(TabCalc[[#This Row],[EfCost]])),             TabCalc[[#This Row],[GL]],     0)</f>
        <v>87337.299999999988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45912.856691006251</v>
      </c>
      <c r="BQ44" s="189">
        <f ca="1">(TabCalc[[#This Row],[ValueBegin]]+(TabCalc[[#This Row],[M]]-TabCalc[[#This Row],[A]])*TabCalc[[#This Row],[NAfter]])*TabCalc[[#This Row],[Scale]]</f>
        <v>-85679.7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594.30000000000007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3959.4</v>
      </c>
      <c r="CU44" s="428">
        <f ca="1">IF(TabCalc[[#This Row],[M]]-TabCalc[[#This Row],[A]]&lt;=0,"",INT(DesiredSaleGain/(TabCalc[[#This Row],[M]]-IF(TabCalc[[#This Row],[E]]&gt;0,0,TabCalc[[#This Row],[A]]))))</f>
        <v>84</v>
      </c>
      <c r="CV44" s="359">
        <f ca="1">IFERROR(TabCalc[[#This Row],[NME]]*TabCalc[[#This Row],[M]],"")</f>
        <v>33258.959999999999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594.30000000000007</v>
      </c>
      <c r="CX44" s="99">
        <f ca="1">IFERROR((TabCalc[[#This Row],[M]]+TabCalc[[#This Row],[L_Bp]])/ABS(TabCalc[[#This Row],[L_Bp]])/(TODAY()-TabCalc[[#This Row],[L_Bdate]])*360,"")</f>
        <v>0.29989857039769496</v>
      </c>
      <c r="CY44" s="333">
        <f ca="1">MEDIAN(DataShift!F739:Z739)</f>
        <v>1.645E-3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1426590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259.38</v>
      </c>
      <c r="M45" s="799">
        <f ca="1">[1]!RTData[[#This Row],[Change%]]</f>
        <v>1.815E-3</v>
      </c>
      <c r="N45" s="1059">
        <v>0.52380952380952384</v>
      </c>
      <c r="O45" s="1059">
        <f>TabCalc[[#This Row],[Up20]]-1+TabCalc[[#This Row],[Up20]]</f>
        <v>4.7619047619047672E-2</v>
      </c>
      <c r="P45" s="1059">
        <f>TabCalc[[#This Row],[Up20]]-TabCalc[[#This Row],[Up150]]</f>
        <v>-1.2614317250078777E-2</v>
      </c>
      <c r="Q45" s="1059">
        <v>0.53642384105960261</v>
      </c>
      <c r="R45" s="1059">
        <f>TabCalc[[#This Row],[Up150]]-1+TabCalc[[#This Row],[Up150]]</f>
        <v>7.2847682119205226E-2</v>
      </c>
      <c r="S45" s="1059">
        <f ca="1">IFERROR(SUMPRODUCT(DataShift!F1532:Z1532,DataShift!AB740:AV740)/SQRT(SUMPRODUCT(DataShift!F1532:Z1532,DataShift!F1532:Z1532)*SUMPRODUCT(DataShift!AB740:AV740,DataShift!AB740:AV740)),0)</f>
        <v>6.8633355391715606E-3</v>
      </c>
      <c r="T45" s="1059">
        <f ca="1">IFERROR(SUMPRODUCT(DataShift!F1532:Z1532,DataShift!F740:Z740)/SQRT(SUMPRODUCT(DataShift!F1532:Z1532,DataShift!F1532:Z1532)*SUMPRODUCT(DataShift!F740:Z740,DataShift!F740:Z740)),0)</f>
        <v>0.21226584116315203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24129.999999999996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8995.0000000000036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-5864.9999999999945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-17480.000000000004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-8085.0000000002328</v>
      </c>
      <c r="AN45" s="357">
        <f ca="1">_xlfn.LET(_xlpm.MVToday,DataShift!AV542,         _xlpm.MVY,DataShift!AU542,        _xlpm.MVYY, DataShift!AT542,                                IF(_xlpm.MVToday=_xlpm.MVY,_xlpm.MVY-_xlpm.MVYY,_xlpm.MVToday-_xlpm.MVY))</f>
        <v>3135</v>
      </c>
      <c r="AO45" s="357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2">
        <f ca="1">TabCalc[[#This Row],[Y]]/TabCalc[[#This Row],[M]]</f>
        <v>1.0400185056673605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-1.5983725837879468E-2</v>
      </c>
      <c r="AV45" s="91">
        <f t="shared" ca="1" si="3"/>
        <v>0</v>
      </c>
      <c r="AW45" s="99">
        <f ca="1">[1]!RTData[[#This Row],[V/VA]]</f>
        <v>0.77041188314923847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0.77041188314923847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518758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1426588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769370.92200000002</v>
      </c>
      <c r="BJ45" s="173">
        <f ca="1">IF(        OR(      TabCalc[[#This Row],[GL]]&gt;ABS(TabCalc[[#This Row],[EfCost]])),             TabCalc[[#This Row],[GL]],     0)</f>
        <v>769370.92200000002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45912.856647974222</v>
      </c>
      <c r="BQ45" s="189">
        <f ca="1">(TabCalc[[#This Row],[ValueBegin]]+(TabCalc[[#This Row],[M]]-TabCalc[[#This Row],[A]])*TabCalc[[#This Row],[NAfter]])*TabCalc[[#This Row],[Scale]]</f>
        <v>390817.42199999996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390819.42199999996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207.210940737671</v>
      </c>
      <c r="CT45" s="436">
        <f ca="1">TabCalc[[#This Row],[ntoSell]]*TabCalc[[#This Row],[M]]</f>
        <v>53746.373808537101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18156.599999999999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390819.42199999996</v>
      </c>
      <c r="CX45" s="99">
        <f ca="1">IFERROR((TabCalc[[#This Row],[M]]+TabCalc[[#This Row],[L_Bp]])/ABS(TabCalc[[#This Row],[L_Bp]])/(TODAY()-TabCalc[[#This Row],[L_Bdate]])*360,"")</f>
        <v>0.879186275998178</v>
      </c>
      <c r="CY45" s="333">
        <f ca="1">MEDIAN(DataShift!F740:Z740)</f>
        <v>1.815E-3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108750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36.25</v>
      </c>
      <c r="M46" s="799">
        <f ca="1">[1]!RTData[[#This Row],[Change%]]</f>
        <v>2.5459999999999997E-2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-0.69247568150854821</v>
      </c>
      <c r="T46" s="1059">
        <f ca="1">IFERROR(SUMPRODUCT(DataShift!F1533:Z1533,DataShift!F741:Z741)/SQRT(SUMPRODUCT(DataShift!F1533:Z1533,DataShift!F1533:Z1533)*SUMPRODUCT(DataShift!F741:Z741,DataShift!F741:Z741)),0)</f>
        <v>-0.30903472806444859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-3,443 = $ -124,809</v>
      </c>
      <c r="W46" s="225">
        <f ca="1">MIN(TabCalc[[#This Row],[L_Bn]],TabCalc[[#This Row],[NAfter]])*(TabCalc[[#This Row],[M]]+TabCalc[[#This Row],[L_Bp]])*TabCalc[[#This Row],[Scale]]</f>
        <v>-346.74499999999887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-2159.8500000000008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2817.0694999999992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17799.999999999993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2250</v>
      </c>
      <c r="AN46" s="357">
        <f ca="1">_xlfn.LET(_xlpm.MVToday,DataShift!AV543,         _xlpm.MVY,DataShift!AU543,        _xlpm.MVYY, DataShift!AT543,                                IF(_xlpm.MVToday=_xlpm.MVY,_xlpm.MVY-_xlpm.MVYY,_xlpm.MVToday-_xlpm.MVY))</f>
        <v>2700</v>
      </c>
      <c r="AO46" s="357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-2700</v>
      </c>
      <c r="AP46" s="1192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0.13715846994535519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0.13715846994535519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-159019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-75644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-180432.19500000001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149.58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45912.836805555555</v>
      </c>
      <c r="BQ46" s="189">
        <f ca="1">(TabCalc[[#This Row],[ValueBegin]]+(TabCalc[[#This Row],[M]]-TabCalc[[#This Row],[A]])*TabCalc[[#This Row],[NAfter]])*TabCalc[[#This Row],[Scale]]</f>
        <v>-200442.05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-16048.050000000003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621.2129306713947</v>
      </c>
      <c r="CR46" s="435">
        <f ca="1">IF(TabCalc[[#This Row],[ntoBuy]]*TabCalc[[#This Row],[M]]&lt;=0,0,TabCalc[[#This Row],[ntoBuy]]*TabCalc[[#This Row],[M]])</f>
        <v>22518.968736838058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-16048.050000000003</v>
      </c>
      <c r="CX46" s="99">
        <f ca="1">IFERROR((TabCalc[[#This Row],[M]]+TabCalc[[#This Row],[L_Bp]])/ABS(TabCalc[[#This Row],[L_Bp]])/(TODAY()-TabCalc[[#This Row],[L_Bdate]])*360,"")</f>
        <v>-0.17101680994948254</v>
      </c>
      <c r="CY46" s="333">
        <f ca="1">MEDIAN(DataShift!F741:Z741)</f>
        <v>2.663E-3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125523.78000000001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6.94</v>
      </c>
      <c r="M47" s="799">
        <f ca="1">[1]!RTData[[#This Row],[Change%]]</f>
        <v>-2.3910000000000001E-2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-0.32575874757426537</v>
      </c>
      <c r="T47" s="1059">
        <f ca="1">IFERROR(SUMPRODUCT(DataShift!F1534:Z1534,DataShift!F742:Z742)/SQRT(SUMPRODUCT(DataShift!F1534:Z1534,DataShift!F1534:Z1534)*SUMPRODUCT(DataShift!F742:Z742,DataShift!F742:Z742)),0)</f>
        <v>-0.43023094864445954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6,075 = $ 42,160</v>
      </c>
      <c r="W47" s="225">
        <f ca="1">MIN(TabCalc[[#This Row],[L_Bn]],TabCalc[[#This Row],[NAfter]])*(TabCalc[[#This Row],[M]]+TabCalc[[#This Row],[L_Bp]])*TabCalc[[#This Row],[Scale]]</f>
        <v>-14585.088000000003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-17074.600000000002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-3255.6599999999889</v>
      </c>
      <c r="AN47" s="357">
        <f ca="1">_xlfn.LET(_xlpm.MVToday,DataShift!AV544,         _xlpm.MVY,DataShift!AU544,        _xlpm.MVYY, DataShift!AT544,                                IF(_xlpm.MVToday=_xlpm.MVY,_xlpm.MVY-_xlpm.MVYY,_xlpm.MVToday-_xlpm.MVY))</f>
        <v>-3526.964999999982</v>
      </c>
      <c r="AO47" s="357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2">
        <f ca="1">TabCalc[[#This Row],[Y]]/TabCalc[[#This Row],[M]]</f>
        <v>1.188799711815562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-3.9287533150590602E-2</v>
      </c>
      <c r="AV47" s="91">
        <f t="shared" ca="1" si="3"/>
        <v>0</v>
      </c>
      <c r="AW47" s="99">
        <f ca="1">[1]!RTData[[#This Row],[V/VA]]</f>
        <v>0.52775367168646414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0.52775367168646414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-46760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64883.780000000013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-31659.68799999998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45912.840323714845</v>
      </c>
      <c r="BQ47" s="189">
        <f ca="1">(TabCalc[[#This Row],[ValueBegin]]+(TabCalc[[#This Row],[M]]-TabCalc[[#This Row],[A]])*TabCalc[[#This Row],[NAfter]])*TabCalc[[#This Row],[Scale]]</f>
        <v>-92299.687999999995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-31659.687999999987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-31659.687999999987</v>
      </c>
      <c r="CX47" s="99">
        <f ca="1">IFERROR((TabCalc[[#This Row],[M]]+TabCalc[[#This Row],[L_Bp]])/ABS(TabCalc[[#This Row],[L_Bp]])/(TODAY()-TabCalc[[#This Row],[L_Bdate]])*360,"")</f>
        <v>-8.3437952679864829</v>
      </c>
      <c r="CY47" s="333">
        <f ca="1">MEDIAN(DataShift!F742:Z742)</f>
        <v>-8.0000000000000002E-3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125954.5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359.87</v>
      </c>
      <c r="M48" s="799">
        <f ca="1">[1]!RTData[[#This Row],[Change%]]</f>
        <v>6.6739999999999996E-4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0.16979054399120355</v>
      </c>
      <c r="T48" s="1059">
        <f ca="1">IFERROR(SUMPRODUCT(DataShift!F1535:Z1535,DataShift!F743:Z743)/SQRT(SUMPRODUCT(DataShift!F1535:Z1535,DataShift!F1535:Z1535)*SUMPRODUCT(DataShift!F743:Z743,DataShift!F743:Z743)),0)</f>
        <v>0.21667183302272858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37546.600008000001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53235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-20734.000000000004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-29535.249999999996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-1064.0000000000146</v>
      </c>
      <c r="AN48" s="357">
        <f ca="1">_xlfn.LET(_xlpm.MVToday,DataShift!AV545,         _xlpm.MVY,DataShift!AU545,        _xlpm.MVYY, DataShift!AT545,                                IF(_xlpm.MVToday=_xlpm.MVY,_xlpm.MVY-_xlpm.MVYY,_xlpm.MVToday-_xlpm.MVY))</f>
        <v>101.5</v>
      </c>
      <c r="AO48" s="357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2">
        <f ca="1">TabCalc[[#This Row],[Y]]/TabCalc[[#This Row],[M]]</f>
        <v>0.98663406230027506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8.7093919679661377E-4</v>
      </c>
      <c r="AV48" s="91">
        <f t="shared" ca="1" si="3"/>
        <v>0</v>
      </c>
      <c r="AW48" s="99">
        <f ca="1">[1]!RTData[[#This Row],[V/VA]]</f>
        <v>1.2976772377132826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1.2976772377132826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47541.549200000009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105120.74920000001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72781.775207999977</v>
      </c>
      <c r="BJ48" s="173">
        <f ca="1">IF(        OR(      TabCalc[[#This Row],[GL]]&gt;ABS(TabCalc[[#This Row],[EfCost]])),             TabCalc[[#This Row],[GL]],     0)</f>
        <v>72781.775207999977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45912.856534721876</v>
      </c>
      <c r="BQ48" s="189">
        <f ca="1">(TabCalc[[#This Row],[ValueBegin]]+(TabCalc[[#This Row],[M]]-TabCalc[[#This Row],[A]])*TabCalc[[#This Row],[NAfter]])*TabCalc[[#This Row],[Scale]]</f>
        <v>33443.849208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54277.600008000001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31.960284013580928</v>
      </c>
      <c r="CT48" s="436">
        <f ca="1">TabCalc[[#This Row],[ntoSell]]*TabCalc[[#This Row],[M]]</f>
        <v>11501.54740796737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11515.84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54277.600008000001</v>
      </c>
      <c r="CX48" s="99">
        <f ca="1">IFERROR((TabCalc[[#This Row],[M]]+TabCalc[[#This Row],[L_Bp]])/ABS(TabCalc[[#This Row],[L_Bp]])/(TODAY()-TabCalc[[#This Row],[L_Bdate]])*360,"")</f>
        <v>1.3912420479421141</v>
      </c>
      <c r="CY48" s="333">
        <f ca="1">MEDIAN(DataShift!F743:Z743)</f>
        <v>6.6739999999999996E-4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43970.25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29.313500000000001</v>
      </c>
      <c r="M49" s="799">
        <f ca="1">[1]!RTData[[#This Row],[Change%]]</f>
        <v>-8.0870000000000004E-3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-0.33367517331062058</v>
      </c>
      <c r="T49" s="1059">
        <f ca="1">IFERROR(SUMPRODUCT(DataShift!F1536:Z1536,DataShift!F744:Z744)/SQRT(SUMPRODUCT(DataShift!F1536:Z1536,DataShift!F1536:Z1536)*SUMPRODUCT(DataShift!F744:Z744,DataShift!F744:Z744)),0)</f>
        <v>-6.9654165703984333E-2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7745.2500000000036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5667.0000000000036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383.24999999999852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-11770.500000000002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-54.150000000001455</v>
      </c>
      <c r="AN49" s="357">
        <f ca="1">_xlfn.LET(_xlpm.MVToday,DataShift!AV546,         _xlpm.MVY,DataShift!AU546,        _xlpm.MVYY, DataShift!AT546,                                IF(_xlpm.MVToday=_xlpm.MVY,_xlpm.MVY-_xlpm.MVYY,_xlpm.MVToday-_xlpm.MVY))</f>
        <v>-317.25</v>
      </c>
      <c r="AO49" s="357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2">
        <f ca="1">TabCalc[[#This Row],[Y]]/TabCalc[[#This Row],[M]]</f>
        <v>1.2281030924318146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-0.28328682060088434</v>
      </c>
      <c r="AV49" s="91">
        <f t="shared" ca="1" si="3"/>
        <v>8500</v>
      </c>
      <c r="AW49" s="99">
        <f ca="1">[1]!RTData[[#This Row],[V/VA]]</f>
        <v>1.6135976971641899E-2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1.6135976971641899E-2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101835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-147329.75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97866.62</v>
      </c>
      <c r="BJ49" s="173">
        <f ca="1">IF(        OR(      TabCalc[[#This Row],[GL]]&gt;ABS(TabCalc[[#This Row],[EfCost]])),             TabCalc[[#This Row],[GL]],     0)</f>
        <v>97866.62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45912.833333333336</v>
      </c>
      <c r="BQ49" s="189">
        <f ca="1">(TabCalc[[#This Row],[ValueBegin]]+(TabCalc[[#This Row],[M]]-TabCalc[[#This Row],[A]])*TabCalc[[#This Row],[NAfter]])*TabCalc[[#This Row],[Scale]]</f>
        <v>-183554.75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7745.2500000000036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6523.1572080887399</v>
      </c>
      <c r="CR49" s="435">
        <f ca="1">IF(TabCalc[[#This Row],[ntoBuy]]*TabCalc[[#This Row],[M]]&lt;=0,0,TabCalc[[#This Row],[ntoBuy]]*TabCalc[[#This Row],[M]])</f>
        <v>191216.56881930929</v>
      </c>
      <c r="CS49" s="435">
        <f ca="1">IF(TabCalc[[#This Row],[M]]&gt;ABS(TabCalc[[#This Row],[L_Bp]]),MIN(TabCalc[[#This Row],[NAfter]],DesiredSaleGain/(TabCalc[[#This Row],[M]]+TabCalc[[#This Row],[L_Bp]])),0)/TabCalc[[#This Row],[Scale]]</f>
        <v>968.33543139343419</v>
      </c>
      <c r="CT49" s="436">
        <f ca="1">TabCalc[[#This Row],[ntoSell]]*TabCalc[[#This Row],[M]]</f>
        <v>28385.300668151434</v>
      </c>
      <c r="CU49" s="428">
        <f ca="1">IF(TabCalc[[#This Row],[M]]-TabCalc[[#This Row],[A]]&lt;=0,"",INT(DesiredSaleGain/(TabCalc[[#This Row],[M]]-IF(TabCalc[[#This Row],[E]]&gt;0,0,TabCalc[[#This Row],[A]]))))</f>
        <v>968</v>
      </c>
      <c r="CV49" s="359">
        <f ca="1">IFERROR(TabCalc[[#This Row],[NME]]*TabCalc[[#This Row],[M]],"")</f>
        <v>28375.468000000001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7745.2500000000036</v>
      </c>
      <c r="CX49" s="99">
        <f ca="1">IFERROR((TabCalc[[#This Row],[M]]+TabCalc[[#This Row],[L_Bp]])/ABS(TabCalc[[#This Row],[L_Bp]])/(TODAY()-TabCalc[[#This Row],[L_Bdate]])*360,"")</f>
        <v>0.27198384654215058</v>
      </c>
      <c r="CY49" s="333">
        <f ca="1">MEDIAN(DataShift!F744:Z744)</f>
        <v>-3.4200000000000003E-3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796900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61.3</v>
      </c>
      <c r="M50" s="799">
        <f ca="1">[1]!RTData[[#This Row],[Change%]]</f>
        <v>-1.6289999999999998E-3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-0.46456819274125316</v>
      </c>
      <c r="T50" s="1059">
        <f ca="1">IFERROR(SUMPRODUCT(DataShift!F1537:Z1537,DataShift!F745:Z745)/SQRT(SUMPRODUCT(DataShift!F1537:Z1537,DataShift!F1537:Z1537)*SUMPRODUCT(DataShift!F745:Z745,DataShift!F745:Z745)),0)</f>
        <v>0.22807360089845061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10799.999999999984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505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9600.0000000000091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-3900</v>
      </c>
      <c r="AN50" s="357">
        <f ca="1">_xlfn.LET(_xlpm.MVToday,DataShift!AV547,         _xlpm.MVY,DataShift!AU547,        _xlpm.MVYY, DataShift!AT547,                                IF(_xlpm.MVToday=_xlpm.MVY,_xlpm.MVY-_xlpm.MVYY,_xlpm.MVToday-_xlpm.MVY))</f>
        <v>-1300</v>
      </c>
      <c r="AO50" s="357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-3900</v>
      </c>
      <c r="AP50" s="1192">
        <f ca="1">TabCalc[[#This Row],[Y]]/TabCalc[[#This Row],[M]]</f>
        <v>1.0331158238172919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-2.154855492952453E-3</v>
      </c>
      <c r="AV50" s="91">
        <f t="shared" ca="1" si="3"/>
        <v>7000</v>
      </c>
      <c r="AW50" s="99">
        <f ca="1">[1]!RTData[[#This Row],[V/VA]]</f>
        <v>0.87123338257016247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0.87123338257016247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99963.709999999963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-329136.29000000004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159094.30999999994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81.54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45912.652777777781</v>
      </c>
      <c r="BQ50" s="189">
        <f ca="1">(TabCalc[[#This Row],[ValueBegin]]+(TabCalc[[#This Row],[M]]-TabCalc[[#This Row],[A]])*TabCalc[[#This Row],[NAfter]])*TabCalc[[#This Row],[Scale]]</f>
        <v>-1109586.29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16449.999999999953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10000</v>
      </c>
      <c r="CR50" s="435">
        <f ca="1">IF(TabCalc[[#This Row],[ntoBuy]]*TabCalc[[#This Row],[M]]&lt;=0,0,TabCalc[[#This Row],[ntoBuy]]*TabCalc[[#This Row],[M]])</f>
        <v>613000</v>
      </c>
      <c r="CS50" s="435">
        <f ca="1">IF(TabCalc[[#This Row],[M]]&gt;ABS(TabCalc[[#This Row],[L_Bp]]),MIN(TabCalc[[#This Row],[NAfter]],DesiredSaleGain/(TabCalc[[#This Row],[M]]+TabCalc[[#This Row],[L_Bp]])),0)/TabCalc[[#This Row],[Scale]]</f>
        <v>2272.7272727272771</v>
      </c>
      <c r="CT50" s="436">
        <f ca="1">TabCalc[[#This Row],[ntoSell]]*TabCalc[[#This Row],[M]]</f>
        <v>139318.18181818209</v>
      </c>
      <c r="CU50" s="428">
        <f ca="1">IF(TabCalc[[#This Row],[M]]-TabCalc[[#This Row],[A]]&lt;=0,"",INT(DesiredSaleGain/(TabCalc[[#This Row],[M]]-IF(TabCalc[[#This Row],[E]]&gt;0,0,TabCalc[[#This Row],[A]]))))</f>
        <v>3951</v>
      </c>
      <c r="CV50" s="359">
        <f ca="1">IFERROR(TabCalc[[#This Row],[NME]]*TabCalc[[#This Row],[M]],"")</f>
        <v>242196.3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16449.999999999953</v>
      </c>
      <c r="CX50" s="99">
        <f ca="1">IFERROR((TabCalc[[#This Row],[M]]+TabCalc[[#This Row],[L_Bp]])/ABS(TabCalc[[#This Row],[L_Bp]])/(TODAY()-TabCalc[[#This Row],[L_Bdate]])*360,"")</f>
        <v>0.35265829548490446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49800.000000000007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9.9600000000000009</v>
      </c>
      <c r="M51" s="799">
        <f ca="1">[1]!RTData[[#This Row],[Change%]]</f>
        <v>-2.0649000000000001E-2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0.67987147085212551</v>
      </c>
      <c r="T51" s="1059">
        <f ca="1">IFERROR(SUMPRODUCT(DataShift!F1538:Z1538,DataShift!F746:Z746)/SQRT(SUMPRODUCT(DataShift!F1538:Z1538,DataShift!F1538:Z1538)*SUMPRODUCT(DataShift!F746:Z746,DataShift!F746:Z746)),0)</f>
        <v>-0.48246541032064849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8650.0000000000018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-6849.9999999999964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3099.9999999999959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17299.999999999985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-649.99999999999272</v>
      </c>
      <c r="AN51" s="357">
        <f ca="1">_xlfn.LET(_xlpm.MVToday,DataShift!AV548,         _xlpm.MVY,DataShift!AU548,        _xlpm.MVYY, DataShift!AT548,                                IF(_xlpm.MVToday=_xlpm.MVY,_xlpm.MVY-_xlpm.MVYY,_xlpm.MVToday-_xlpm.MVY))</f>
        <v>-899.99999999999272</v>
      </c>
      <c r="AO51" s="357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2">
        <f ca="1">TabCalc[[#This Row],[Y]]/TabCalc[[#This Row],[M]]</f>
        <v>1.1474467871485943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-2.7824843185175595E-2</v>
      </c>
      <c r="AV51" s="91">
        <f t="shared" ca="1" si="3"/>
        <v>0</v>
      </c>
      <c r="AW51" s="99">
        <f ca="1">[1]!RTData[[#This Row],[V/VA]]</f>
        <v>1.259964776017453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1.259964776017453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-101643.94999999998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-101643.94999999998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-86293.949999999953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44.44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45912.855086851559</v>
      </c>
      <c r="BQ51" s="189">
        <f ca="1">(TabCalc[[#This Row],[ValueBegin]]+(TabCalc[[#This Row],[M]]-TabCalc[[#This Row],[A]])*TabCalc[[#This Row],[NAfter]])*TabCalc[[#This Row],[Scale]]</f>
        <v>-142793.94999999998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8650.0000000000018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8064.5161290322685</v>
      </c>
      <c r="CR51" s="435">
        <f ca="1">IF(TabCalc[[#This Row],[ntoBuy]]*TabCalc[[#This Row],[M]]&lt;=0,0,TabCalc[[#This Row],[ntoBuy]]*TabCalc[[#This Row],[M]])</f>
        <v>80322.580645161404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2890.1734104046236</v>
      </c>
      <c r="CT51" s="436">
        <f ca="1">TabCalc[[#This Row],[ntoSell]]*TabCalc[[#This Row],[M]]</f>
        <v>28786.127167630053</v>
      </c>
      <c r="CU51" s="428">
        <f ca="1">IF(TabCalc[[#This Row],[M]]-TabCalc[[#This Row],[A]]&lt;=0,"",INT(DesiredSaleGain/(TabCalc[[#This Row],[M]]-IF(TabCalc[[#This Row],[E]]&gt;0,0,TabCalc[[#This Row],[A]]))))</f>
        <v>2890</v>
      </c>
      <c r="CV51" s="359">
        <f ca="1">IFERROR(TabCalc[[#This Row],[NME]]*TabCalc[[#This Row],[M]],"")</f>
        <v>28784.400000000001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8650.0000000000018</v>
      </c>
      <c r="CX51" s="99">
        <f ca="1">IFERROR((TabCalc[[#This Row],[M]]+TabCalc[[#This Row],[L_Bp]])/ABS(TabCalc[[#This Row],[L_Bp]])/(TODAY()-TabCalc[[#This Row],[L_Bdate]])*360,"")</f>
        <v>0.67566394723138357</v>
      </c>
      <c r="CY51" s="333">
        <f ca="1">MEDIAN(DataShift!F746:Z746)</f>
        <v>-2.8630000000000001E-3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0.66258915644907934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7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7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2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0.31519272949527732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22438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112.19</v>
      </c>
      <c r="M53" s="799">
        <f ca="1">[1]!RTData[[#This Row],[Change%]]</f>
        <v>4.459E-4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0.47121193718519327</v>
      </c>
      <c r="T53" s="1059">
        <f ca="1">IFERROR(SUMPRODUCT(DataShift!F1540:Z1540,DataShift!F748:Z748)/SQRT(SUMPRODUCT(DataShift!F1540:Z1540,DataShift!F1540:Z1540)*SUMPRODUCT(DataShift!F748:Z748,DataShift!F748:Z748)),0)</f>
        <v>0.2903922799205042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1219.9999999999989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168.00000000000068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-8675.9999999999873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3491.9999999999959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-134</v>
      </c>
      <c r="AN53" s="357">
        <f ca="1">_xlfn.LET(_xlpm.MVToday,DataShift!AV550,         _xlpm.MVY,DataShift!AU550,        _xlpm.MVYY, DataShift!AT550,                                IF(_xlpm.MVToday=_xlpm.MVY,_xlpm.MVY-_xlpm.MVYY,_xlpm.MVToday-_xlpm.MVY))</f>
        <v>-20</v>
      </c>
      <c r="AO53" s="357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2">
        <f ca="1">TabCalc[[#This Row],[Y]]/TabCalc[[#This Row],[M]]</f>
        <v>1.112324360459934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-0.14293696717309839</v>
      </c>
      <c r="AV53" s="91">
        <f t="shared" ca="1" si="3"/>
        <v>0</v>
      </c>
      <c r="AW53" s="99">
        <f ca="1">[1]!RTData[[#This Row],[V/VA]]</f>
        <v>0.75013527519452761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0.75013527519452761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2536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2536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9414.1000000000058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45912.855599293747</v>
      </c>
      <c r="BQ53" s="189">
        <f ca="1">(TabCalc[[#This Row],[ValueBegin]]+(TabCalc[[#This Row],[M]]-TabCalc[[#This Row],[A]])*TabCalc[[#This Row],[NAfter]])*TabCalc[[#This Row],[Scale]]</f>
        <v>-18682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1219.9999999999989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22438</v>
      </c>
      <c r="CU53" s="428">
        <f ca="1">IF(TabCalc[[#This Row],[M]]-TabCalc[[#This Row],[A]]&lt;=0,"",INT(DesiredSaleGain/(TabCalc[[#This Row],[M]]-IF(TabCalc[[#This Row],[E]]&gt;0,0,TabCalc[[#This Row],[A]]))))</f>
        <v>819</v>
      </c>
      <c r="CV53" s="359">
        <f ca="1">IFERROR(TabCalc[[#This Row],[NME]]*TabCalc[[#This Row],[M]],"")</f>
        <v>91883.61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1219.9999999999989</v>
      </c>
      <c r="CX53" s="99">
        <f ca="1">IFERROR((TabCalc[[#This Row],[M]]+TabCalc[[#This Row],[L_Bp]])/ABS(TabCalc[[#This Row],[L_Bp]])/(TODAY()-TabCalc[[#This Row],[L_Bdate]])*360,"")</f>
        <v>8.085705533037979E-2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30150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6.03</v>
      </c>
      <c r="M54" s="799">
        <f ca="1">[1]!RTData[[#This Row],[Change%]]</f>
        <v>-6.5900000000000004E-3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0.38936420065878363</v>
      </c>
      <c r="T54" s="1059">
        <f ca="1">IFERROR(SUMPRODUCT(DataShift!F1541:Z1541,DataShift!F749:Z749)/SQRT(SUMPRODUCT(DataShift!F1541:Z1541,DataShift!F1541:Z1541)*SUMPRODUCT(DataShift!F749:Z749,DataShift!F749:Z749)),0)</f>
        <v>1.3589675060173275E-2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-16170.000000000002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-19049.999999999996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32544.000000000004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7800.0000000000018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-149.99999999999636</v>
      </c>
      <c r="AN54" s="357">
        <f ca="1">_xlfn.LET(_xlpm.MVToday,DataShift!AV551,         _xlpm.MVY,DataShift!AU551,        _xlpm.MVYY, DataShift!AT551,                                IF(_xlpm.MVToday=_xlpm.MVY,_xlpm.MVY-_xlpm.MVYY,_xlpm.MVToday-_xlpm.MVY))</f>
        <v>-125</v>
      </c>
      <c r="AO54" s="357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2">
        <f ca="1">TabCalc[[#This Row],[Y]]/TabCalc[[#This Row],[M]]</f>
        <v>1.8242122719734659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-1.8507986280717621</v>
      </c>
      <c r="AV54" s="91">
        <f t="shared" ca="1" si="3"/>
        <v>0</v>
      </c>
      <c r="AW54" s="99">
        <f ca="1">[1]!RTData[[#This Row],[V/VA]]</f>
        <v>0.8378930811488462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0.8378930811488462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-50542.229999999996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-25216.229999999996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-59040.62999999999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23.78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45912.840323935154</v>
      </c>
      <c r="BQ54" s="189">
        <f ca="1">(TabCalc[[#This Row],[ValueBegin]]+(TabCalc[[#This Row],[M]]-TabCalc[[#This Row],[A]])*TabCalc[[#This Row],[NAfter]])*TabCalc[[#This Row],[Scale]]</f>
        <v>-74584.23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-19217.999999999996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1106.1946902654865</v>
      </c>
      <c r="CR54" s="435">
        <f ca="1">IF(TabCalc[[#This Row],[ntoBuy]]*TabCalc[[#This Row],[M]]&lt;=0,0,TabCalc[[#This Row],[ntoBuy]]*TabCalc[[#This Row],[M]])</f>
        <v>6670.3539823008841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-19217.999999999996</v>
      </c>
      <c r="CX54" s="99">
        <f ca="1">IFERROR((TabCalc[[#This Row],[M]]+TabCalc[[#This Row],[L_Bp]])/ABS(TabCalc[[#This Row],[L_Bp]])/(TODAY()-TabCalc[[#This Row],[L_Bdate]])*360,"")</f>
        <v>-0.57025772686876675</v>
      </c>
      <c r="CY54" s="333">
        <f ca="1">MEDIAN(DataShift!F749:Z749)</f>
        <v>-6.5900000000000004E-3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449450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0.89</v>
      </c>
      <c r="M55" s="799">
        <f ca="1">[1]!RTData[[#This Row],[Change%]]</f>
        <v>2.2520000000000001E-3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-0.75849625481936001</v>
      </c>
      <c r="T55" s="1059">
        <f ca="1">IFERROR(SUMPRODUCT(DataShift!F1542:Z1542,DataShift!F750:Z750)/SQRT(SUMPRODUCT(DataShift!F1542:Z1542,DataShift!F1542:Z1542)*SUMPRODUCT(DataShift!F750:Z750,DataShift!F750:Z750)),0)</f>
        <v>-1.740082031064584E-2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-1365.7300000000005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-2400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1010</v>
      </c>
      <c r="AN55" s="357">
        <f ca="1">_xlfn.LET(_xlpm.MVToday,DataShift!AV552,         _xlpm.MVY,DataShift!AU552,        _xlpm.MVYY, DataShift!AT552,                                IF(_xlpm.MVToday=_xlpm.MVY,_xlpm.MVY-_xlpm.MVYY,_xlpm.MVToday-_xlpm.MVY))</f>
        <v>1010</v>
      </c>
      <c r="AO55" s="357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-10100</v>
      </c>
      <c r="AP55" s="1192">
        <f ca="1">TabCalc[[#This Row],[Y]]/TabCalc[[#This Row],[M]]</f>
        <v>1.7228426966292136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55" s="91">
        <f t="shared" ca="1" si="3"/>
        <v>0</v>
      </c>
      <c r="AW55" s="99">
        <f ca="1">[1]!RTData[[#This Row],[V/VA]]</f>
        <v>2.2413793103448276E-2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2.2413793103448276E-2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-110608.67999999993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-12736.26999999996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-188974.797074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45912.666666666664</v>
      </c>
      <c r="BQ55" s="189">
        <f ca="1">(TabCalc[[#This Row],[ValueBegin]]+(TabCalc[[#This Row],[M]]-TabCalc[[#This Row],[A]])*TabCalc[[#This Row],[NAfter]])*TabCalc[[#This Row],[Scale]]</f>
        <v>-651161.0670739999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-188974.797074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-188974.797074</v>
      </c>
      <c r="CX55" s="99">
        <f ca="1">IFERROR((TabCalc[[#This Row],[M]]+TabCalc[[#This Row],[L_Bp]])/ABS(TabCalc[[#This Row],[L_Bp]])/(TODAY()-TabCalc[[#This Row],[L_Bdate]])*360,"")</f>
        <v>-0.51306451671812159</v>
      </c>
      <c r="CY55" s="333">
        <f ca="1">MEDIAN(DataShift!F750:Z750)</f>
        <v>-8.4390000000000003E-3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22250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2.2250000000000001</v>
      </c>
      <c r="M56" s="799">
        <f ca="1">[1]!RTData[[#This Row],[Change%]]</f>
        <v>-1.1110999999999999E-2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-0.67764195655517778</v>
      </c>
      <c r="T56" s="1059">
        <f ca="1">IFERROR(SUMPRODUCT(DataShift!F1543:Z1543,DataShift!F751:Z751)/SQRT(SUMPRODUCT(DataShift!F1543:Z1543,DataShift!F1543:Z1543)*SUMPRODUCT(DataShift!F751:Z751,DataShift!F751:Z751)),0)</f>
        <v>-9.1231641938191985E-2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-2250.0000000000009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-4920.0849999999982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6475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8675.5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56" s="357">
        <f ca="1">_xlfn.LET(_xlpm.MVToday,DataShift!AV553,         _xlpm.MVY,DataShift!AU553,        _xlpm.MVYY, DataShift!AT553,                                IF(_xlpm.MVToday=_xlpm.MVY,_xlpm.MVY-_xlpm.MVYY,_xlpm.MVToday-_xlpm.MVY))</f>
        <v>-250</v>
      </c>
      <c r="AO56" s="357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2">
        <f ca="1">TabCalc[[#This Row],[Y]]/TabCalc[[#This Row],[M]]</f>
        <v>1.4606741573033708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56" s="91">
        <f t="shared" ca="1" si="3"/>
        <v>0</v>
      </c>
      <c r="AW56" s="99">
        <f ca="1">[1]!RTData[[#This Row],[V/VA]]</f>
        <v>0.41372923122963995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0.41372923122963995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-21050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-21050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9260.4149999999972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1.81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45912.85209288125</v>
      </c>
      <c r="BQ56" s="189">
        <f ca="1">(TabCalc[[#This Row],[ValueBegin]]+(TabCalc[[#This Row],[M]]-TabCalc[[#This Row],[A]])*TabCalc[[#This Row],[NAfter]])*TabCalc[[#This Row],[Scale]]</f>
        <v>-45550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-2250.0000000000009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3861.0038610038614</v>
      </c>
      <c r="CR56" s="435">
        <f ca="1">IF(TabCalc[[#This Row],[ntoBuy]]*TabCalc[[#This Row],[M]]&lt;=0,0,TabCalc[[#This Row],[ntoBuy]]*TabCalc[[#This Row],[M]])</f>
        <v>8590.7335907335928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-2250.0000000000009</v>
      </c>
      <c r="CX56" s="99">
        <f ca="1">IFERROR((TabCalc[[#This Row],[M]]+TabCalc[[#This Row],[L_Bp]])/ABS(TabCalc[[#This Row],[L_Bp]])/(TODAY()-TabCalc[[#This Row],[L_Bdate]])*360,"")</f>
        <v>-9.082753980713168E-2</v>
      </c>
      <c r="CY56" s="333">
        <f ca="1">MEDIAN(DataShift!F751:Z751)</f>
        <v>-1.6055E-2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330720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27.56</v>
      </c>
      <c r="M57" s="799">
        <f ca="1">[1]!RTData[[#This Row],[Change%]]</f>
        <v>9.894E-3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0.10392839772279915</v>
      </c>
      <c r="T57" s="1059">
        <f ca="1">IFERROR(SUMPRODUCT(DataShift!F1544:Z1544,DataShift!F752:Z752)/SQRT(SUMPRODUCT(DataShift!F1544:Z1544,DataShift!F1544:Z1544)*SUMPRODUCT(DataShift!F752:Z752,DataShift!F752:Z752)),0)</f>
        <v>0.14548890581546567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-3990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-1900.0000000000005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12450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13035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2280</v>
      </c>
      <c r="AN57" s="357">
        <f ca="1">_xlfn.LET(_xlpm.MVToday,DataShift!AV554,         _xlpm.MVY,DataShift!AU554,        _xlpm.MVYY, DataShift!AT554,                                IF(_xlpm.MVToday=_xlpm.MVY,_xlpm.MVY-_xlpm.MVYY,_xlpm.MVToday-_xlpm.MVY))</f>
        <v>3240</v>
      </c>
      <c r="AO57" s="357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-840</v>
      </c>
      <c r="AP57" s="1192">
        <f ca="1">TabCalc[[#This Row],[Y]]/TabCalc[[#This Row],[M]]</f>
        <v>1.2902757619738754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57" s="91">
        <f t="shared" ca="1" si="3"/>
        <v>0</v>
      </c>
      <c r="AW57" s="99">
        <f ca="1">[1]!RTData[[#This Row],[V/VA]]</f>
        <v>0.84064482926332695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0.84064482926332695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-32880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242720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-68827.396000000008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48.23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45912.666666666664</v>
      </c>
      <c r="BQ57" s="189">
        <f ca="1">(TabCalc[[#This Row],[ValueBegin]]+(TabCalc[[#This Row],[M]]-TabCalc[[#This Row],[A]])*TabCalc[[#This Row],[NAfter]])*TabCalc[[#This Row],[Scale]]</f>
        <v>-160930.00000000006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-72930.000000000044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401.60642570281129</v>
      </c>
      <c r="CR57" s="435">
        <f ca="1">IF(TabCalc[[#This Row],[ntoBuy]]*TabCalc[[#This Row],[M]]&lt;=0,0,TabCalc[[#This Row],[ntoBuy]]*TabCalc[[#This Row],[M]])</f>
        <v>11068.273092369478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-72930.000000000044</v>
      </c>
      <c r="CX57" s="99">
        <f ca="1">IFERROR((TabCalc[[#This Row],[M]]+TabCalc[[#This Row],[L_Bp]])/ABS(TabCalc[[#This Row],[L_Bp]])/(TODAY()-TabCalc[[#This Row],[L_Bdate]])*360,"")</f>
        <v>-0.40625159089752078</v>
      </c>
      <c r="CY57" s="333">
        <f ca="1">MEDIAN(DataShift!F752:Z752)</f>
        <v>4.5579999999999996E-3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155.25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15.525</v>
      </c>
      <c r="M58" s="799">
        <f ca="1">[1]!RTData[[#This Row],[Change%]]</f>
        <v>1.5038000000000001E-2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-0.45761658176476705</v>
      </c>
      <c r="T58" s="1059">
        <f ca="1">IFERROR(SUMPRODUCT(DataShift!F1545:Z1545,DataShift!F753:Z753)/SQRT(SUMPRODUCT(DataShift!F1545:Z1545,DataShift!F1545:Z1545)*SUMPRODUCT(DataShift!F753:Z753,DataShift!F753:Z753)),0)</f>
        <v>-0.40196509632688004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44.65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48.600000000000009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-8865.35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-11621.07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1.75</v>
      </c>
      <c r="AN58" s="357">
        <f ca="1">_xlfn.LET(_xlpm.MVToday,DataShift!AV555,         _xlpm.MVY,DataShift!AU555,        _xlpm.MVYY, DataShift!AT555,                                IF(_xlpm.MVToday=_xlpm.MVY,_xlpm.MVY-_xlpm.MVYY,_xlpm.MVToday-_xlpm.MVY))</f>
        <v>2.3000000000000114</v>
      </c>
      <c r="AO58" s="357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-0.35000000000002274</v>
      </c>
      <c r="AP58" s="1192">
        <f ca="1">TabCalc[[#This Row],[Y]]/TabCalc[[#This Row],[M]]</f>
        <v>1.0878093397745572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-9.6627548391017126E-3</v>
      </c>
      <c r="AV58" s="91">
        <f t="shared" ca="1" si="3"/>
        <v>19990</v>
      </c>
      <c r="AW58" s="99">
        <f ca="1">[1]!RTData[[#This Row],[V/VA]]</f>
        <v>1.2674223751841054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1.2674223751841054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89294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-221050.75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18115.135000000017</v>
      </c>
      <c r="BJ58" s="173">
        <f ca="1">IF(        OR(      TabCalc[[#This Row],[GL]]&gt;ABS(TabCalc[[#This Row],[EfCost]])),             TabCalc[[#This Row],[GL]],     0)</f>
        <v>18115.135000000017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45912.770833333336</v>
      </c>
      <c r="BQ58" s="189">
        <f ca="1">(TabCalc[[#This Row],[ValueBegin]]+(TabCalc[[#This Row],[M]]-TabCalc[[#This Row],[A]])*TabCalc[[#This Row],[NAfter]])*TabCalc[[#This Row],[Scale]]</f>
        <v>-221161.35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44.65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155.25</v>
      </c>
      <c r="CU58" s="428">
        <f ca="1">IF(TabCalc[[#This Row],[M]]-TabCalc[[#This Row],[A]]&lt;=0,"",INT(DesiredSaleGain/(TabCalc[[#This Row],[M]]-IF(TabCalc[[#This Row],[E]]&gt;0,0,TabCalc[[#This Row],[A]]))))</f>
        <v>1119</v>
      </c>
      <c r="CV58" s="359">
        <f ca="1">IFERROR(TabCalc[[#This Row],[NME]]*TabCalc[[#This Row],[M]],"")</f>
        <v>17372.475000000002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44.65</v>
      </c>
      <c r="CX58" s="99">
        <f ca="1">IFERROR((TabCalc[[#This Row],[M]]+TabCalc[[#This Row],[L_Bp]])/ABS(TabCalc[[#This Row],[L_Bp]])/(TODAY()-TabCalc[[#This Row],[L_Bdate]])*360,"")</f>
        <v>0.62108777298650708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595280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14.882</v>
      </c>
      <c r="M59" s="799">
        <f ca="1">[1]!RTData[[#This Row],[Change%]]</f>
        <v>-2.6810000000000002E-3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0.90140664728597919</v>
      </c>
      <c r="T59" s="1059">
        <f ca="1">IFERROR(SUMPRODUCT(DataShift!F1546:Z1546,DataShift!F754:Z754)/SQRT(SUMPRODUCT(DataShift!F1546:Z1546,DataShift!F1546:Z1546)*SUMPRODUCT(DataShift!F754:Z754,DataShift!F754:Z754)),0)</f>
        <v>9.0312329966775393E-2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15375.999999999991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4584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-3536.0000000000014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-2472.0680000000002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2080</v>
      </c>
      <c r="AN59" s="357">
        <f ca="1">_xlfn.LET(_xlpm.MVToday,DataShift!AV556,         _xlpm.MVY,DataShift!AU556,        _xlpm.MVYY, DataShift!AT556,                                IF(_xlpm.MVToday=_xlpm.MVY,_xlpm.MVY-_xlpm.MVYY,_xlpm.MVToday-_xlpm.MVY))</f>
        <v>-1600</v>
      </c>
      <c r="AO59" s="357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-1440</v>
      </c>
      <c r="AP59" s="1192">
        <f ca="1">TabCalc[[#This Row],[Y]]/TabCalc[[#This Row],[M]]</f>
        <v>1.0233839537696547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59" s="91">
        <f t="shared" ca="1" si="3"/>
        <v>0</v>
      </c>
      <c r="AW59" s="99">
        <f ca="1">[1]!RTData[[#This Row],[V/VA]]</f>
        <v>0.73234913528008072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0.73234913528008072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-7106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439354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35930.777999999933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45912.666666666664</v>
      </c>
      <c r="BQ59" s="189">
        <f ca="1">(TabCalc[[#This Row],[ValueBegin]]+(TabCalc[[#This Row],[M]]-TabCalc[[#This Row],[A]])*TabCalc[[#This Row],[NAfter]])*TabCalc[[#This Row],[Scale]]</f>
        <v>-103265.80000000002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52660.199999999975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2601.456815816859</v>
      </c>
      <c r="CT59" s="436">
        <f ca="1">TabCalc[[#This Row],[ntoSell]]*TabCalc[[#This Row],[M]]</f>
        <v>38714.880332986497</v>
      </c>
      <c r="CU59" s="428">
        <f ca="1">IF(TabCalc[[#This Row],[M]]-TabCalc[[#This Row],[A]]&lt;=0,"",INT(DesiredSaleGain/(TabCalc[[#This Row],[M]]-IF(TabCalc[[#This Row],[E]]&gt;0,0,TabCalc[[#This Row],[A]]))))</f>
        <v>3797</v>
      </c>
      <c r="CV59" s="359">
        <f ca="1">IFERROR(TabCalc[[#This Row],[NME]]*TabCalc[[#This Row],[M]],"")</f>
        <v>56506.953999999998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52660.199999999975</v>
      </c>
      <c r="CX59" s="99">
        <f ca="1">IFERROR((TabCalc[[#This Row],[M]]+TabCalc[[#This Row],[L_Bp]])/ABS(TabCalc[[#This Row],[L_Bp]])/(TODAY()-TabCalc[[#This Row],[L_Bdate]])*360,"")</f>
        <v>0.50846560846560807</v>
      </c>
      <c r="CY59" s="333">
        <f ca="1">MEDIAN(DataShift!F754:Z754)</f>
        <v>1.1819999999999999E-3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2434.8000000000002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0.2029</v>
      </c>
      <c r="M60" s="799">
        <f ca="1">[1]!RTData[[#This Row],[Change%]]</f>
        <v>-1.2652000000000002E-2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-0.62666698571556212</v>
      </c>
      <c r="T60" s="1059">
        <f ca="1">IFERROR(SUMPRODUCT(DataShift!F1547:Z1547,DataShift!F755:Z755)/SQRT(SUMPRODUCT(DataShift!F1547:Z1547,DataShift!F1547:Z1547)*SUMPRODUCT(DataShift!F755:Z755,DataShift!F755:Z755)),0)</f>
        <v>2.1241145690806748E-2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-153,081 = $ -31,061</v>
      </c>
      <c r="W60" s="225">
        <f ca="1">MIN(TabCalc[[#This Row],[L_Bn]],TabCalc[[#This Row],[NAfter]])*(TabCalc[[#This Row],[M]]+TabCalc[[#This Row],[L_Bp]])*TabCalc[[#This Row],[Scale]]</f>
        <v>-15170.999999999998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-13454.2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-97.199999999999818</v>
      </c>
      <c r="AN60" s="357">
        <f ca="1">_xlfn.LET(_xlpm.MVToday,DataShift!AV557,         _xlpm.MVY,DataShift!AU557,        _xlpm.MVYY, DataShift!AT557,                                IF(_xlpm.MVToday=_xlpm.MVY,_xlpm.MVY-_xlpm.MVYY,_xlpm.MVToday-_xlpm.MVY))</f>
        <v>-25.199999999999818</v>
      </c>
      <c r="AO60" s="357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2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0.1144557343760981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0.1144557343760981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-13454.2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-11425.2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-28625.200000000001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45912.854553390622</v>
      </c>
      <c r="BQ60" s="189">
        <f ca="1">(TabCalc[[#This Row],[ValueBegin]]+(TabCalc[[#This Row],[M]]-TabCalc[[#This Row],[A]])*TabCalc[[#This Row],[NAfter]])*TabCalc[[#This Row],[Scale]]</f>
        <v>-42485.2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-28625.200000000001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-28625.200000000001</v>
      </c>
      <c r="CX60" s="99">
        <f ca="1">IFERROR((TabCalc[[#This Row],[M]]+TabCalc[[#This Row],[L_Bp]])/ABS(TabCalc[[#This Row],[L_Bp]])/(TODAY()-TabCalc[[#This Row],[L_Bdate]])*360,"")</f>
        <v>-1.3686748195669607</v>
      </c>
      <c r="CY60" s="333">
        <f ca="1">MEDIAN(DataShift!F755:Z755)</f>
        <v>-7.7720000000000003E-3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114520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57.26</v>
      </c>
      <c r="M61" s="799">
        <f ca="1">[1]!RTData[[#This Row],[Change%]]</f>
        <v>-5.9030000000000003E-3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0.50353001278841536</v>
      </c>
      <c r="T61" s="1059">
        <f ca="1">IFERROR(SUMPRODUCT(DataShift!F1548:Z1548,DataShift!F756:Z756)/SQRT(SUMPRODUCT(DataShift!F1548:Z1548,DataShift!F1548:Z1548)*SUMPRODUCT(DataShift!F756:Z756,DataShift!F756:Z756)),0)</f>
        <v>0.2414488881668137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-3641.7000000000107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35339.999999999993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-9790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-11500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-1080</v>
      </c>
      <c r="AN61" s="357">
        <f ca="1">_xlfn.LET(_xlpm.MVToday,DataShift!AV558,         _xlpm.MVY,DataShift!AU558,        _xlpm.MVYY, DataShift!AT558,                                IF(_xlpm.MVToday=_xlpm.MVY,_xlpm.MVY-_xlpm.MVYY,_xlpm.MVToday-_xlpm.MVY))</f>
        <v>-680</v>
      </c>
      <c r="AO61" s="357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3560</v>
      </c>
      <c r="AP61" s="1192">
        <f ca="1">TabCalc[[#This Row],[Y]]/TabCalc[[#This Row],[M]]</f>
        <v>1.0599022004889975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61" s="91">
        <f t="shared" ca="1" si="3"/>
        <v>8000</v>
      </c>
      <c r="AW61" s="99">
        <f ca="1">[1]!RTData[[#This Row],[V/VA]]</f>
        <v>0.67086524117354551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0.67086524117354551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329433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-128647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89569.05</v>
      </c>
      <c r="BJ61" s="173">
        <f ca="1">IF(        OR(      TabCalc[[#This Row],[GL]]&gt;ABS(TabCalc[[#This Row],[EfCost]])),             TabCalc[[#This Row],[GL]],     0)</f>
        <v>89569.05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45912.666666666664</v>
      </c>
      <c r="BQ61" s="189">
        <f ca="1">(TabCalc[[#This Row],[ValueBegin]]+(TabCalc[[#This Row],[M]]-TabCalc[[#This Row],[A]])*TabCalc[[#This Row],[NAfter]])*TabCalc[[#This Row],[Scale]]</f>
        <v>-246632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-3465.0000000000036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-3465.0000000000036</v>
      </c>
      <c r="CX61" s="99">
        <f ca="1">IFERROR((TabCalc[[#This Row],[M]]+TabCalc[[#This Row],[L_Bp]])/ABS(TabCalc[[#This Row],[L_Bp]])/(TODAY()-TabCalc[[#This Row],[L_Bdate]])*360,"")</f>
        <v>-0.39818195005197998</v>
      </c>
      <c r="CY61" s="333">
        <f ca="1">MEDIAN(DataShift!F756:Z756)</f>
        <v>4.5710000000000004E-3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291900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13.9</v>
      </c>
      <c r="M62" s="799">
        <f ca="1">[1]!RTData[[#This Row],[Change%]]</f>
        <v>7.1989999999999999E-4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0.68361113485213187</v>
      </c>
      <c r="T62" s="1059">
        <f ca="1">IFERROR(SUMPRODUCT(DataShift!F1549:Z1549,DataShift!F757:Z757)/SQRT(SUMPRODUCT(DataShift!F1549:Z1549,DataShift!F1549:Z1549)*SUMPRODUCT(DataShift!F757:Z757,DataShift!F757:Z757)),0)</f>
        <v>7.84030712066736E-2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-1349.999999999998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4260.0000000000055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59.999999999998721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-1799.9999999999989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-945</v>
      </c>
      <c r="AN62" s="357">
        <f ca="1">_xlfn.LET(_xlpm.MVToday,DataShift!AV559,         _xlpm.MVY,DataShift!AU559,        _xlpm.MVYY, DataShift!AT559,                                IF(_xlpm.MVToday=_xlpm.MVY,_xlpm.MVY-_xlpm.MVYY,_xlpm.MVToday-_xlpm.MVY))</f>
        <v>210</v>
      </c>
      <c r="AO62" s="357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3570</v>
      </c>
      <c r="AP62" s="1192">
        <f ca="1">TabCalc[[#This Row],[Y]]/TabCalc[[#This Row],[M]]</f>
        <v>1.0733812949640287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62" s="91">
        <f t="shared" ca="1" si="3"/>
        <v>0</v>
      </c>
      <c r="AW62" s="99">
        <f ca="1">[1]!RTData[[#This Row],[V/VA]]</f>
        <v>0.48995123707291532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0.48995123707291532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22746.799999999988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213176.8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97033.049999999988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45912.666666666664</v>
      </c>
      <c r="BQ62" s="189">
        <f ca="1">(TabCalc[[#This Row],[ValueBegin]]+(TabCalc[[#This Row],[M]]-TabCalc[[#This Row],[A]])*TabCalc[[#This Row],[NAfter]])*TabCalc[[#This Row],[Scale]]</f>
        <v>-38533.200000000004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40190.000000000007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166666.66666667021</v>
      </c>
      <c r="CR62" s="435">
        <f ca="1">IF(TabCalc[[#This Row],[ntoBuy]]*TabCalc[[#This Row],[M]]&lt;=0,0,TabCalc[[#This Row],[ntoBuy]]*TabCalc[[#This Row],[M]])</f>
        <v>2316666.6666667159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2612</v>
      </c>
      <c r="CV62" s="359">
        <f ca="1">IFERROR(TabCalc[[#This Row],[NME]]*TabCalc[[#This Row],[M]],"")</f>
        <v>36306.800000000003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40190.000000000007</v>
      </c>
      <c r="CX62" s="99">
        <f ca="1">IFERROR((TabCalc[[#This Row],[M]]+TabCalc[[#This Row],[L_Bp]])/ABS(TabCalc[[#This Row],[L_Bp]])/(TODAY()-TabCalc[[#This Row],[L_Bdate]])*360,"")</f>
        <v>-0.40318566450970567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35.93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35.93</v>
      </c>
      <c r="M63" s="799">
        <f ca="1">[1]!RTData[[#This Row],[Change%]]</f>
        <v>5.0349999999999995E-3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-0.12353048037209927</v>
      </c>
      <c r="T63" s="1059">
        <f ca="1">IFERROR(SUMPRODUCT(DataShift!F1550:Z1550,DataShift!F758:Z758)/SQRT(SUMPRODUCT(DataShift!F1550:Z1550,DataShift!F1550:Z1550)*SUMPRODUCT(DataShift!F758:Z758,DataShift!F758:Z758)),0)</f>
        <v>-0.32822010107760569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2.8350000000000009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7.7199999999999989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-10277.43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-26560.000000000004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-2.0000000000003126E-2</v>
      </c>
      <c r="AN63" s="357">
        <f ca="1">_xlfn.LET(_xlpm.MVToday,DataShift!AV560,         _xlpm.MVY,DataShift!AU560,        _xlpm.MVYY, DataShift!AT560,                                IF(_xlpm.MVToday=_xlpm.MVY,_xlpm.MVY-_xlpm.MVYY,_xlpm.MVToday-_xlpm.MVY))</f>
        <v>0.17999999999999972</v>
      </c>
      <c r="AO63" s="357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-0.10999999999999943</v>
      </c>
      <c r="AP63" s="1192">
        <f ca="1">TabCalc[[#This Row],[Y]]/TabCalc[[#This Row],[M]]</f>
        <v>1.1942975229613138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63" s="91">
        <f t="shared" ca="1" si="3"/>
        <v>9999</v>
      </c>
      <c r="AW63" s="99">
        <f ca="1">[1]!RTData[[#This Row],[V/VA]]</f>
        <v>0.95258558395808868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0.95258558395808868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500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-358764.07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37551.069999999985</v>
      </c>
      <c r="BJ63" s="173">
        <f ca="1">IF(        OR(      TabCalc[[#This Row],[GL]]&gt;ABS(TabCalc[[#This Row],[EfCost]])),             TabCalc[[#This Row],[GL]],     0)</f>
        <v>37551.069999999985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45912.770833333336</v>
      </c>
      <c r="BQ63" s="189">
        <f ca="1">(TabCalc[[#This Row],[ValueBegin]]+(TabCalc[[#This Row],[M]]-TabCalc[[#This Row],[A]])*TabCalc[[#This Row],[NAfter]])*TabCalc[[#This Row],[Scale]]</f>
        <v>-358797.16499999998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2.8350000000000009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35.93</v>
      </c>
      <c r="CU63" s="428">
        <f ca="1">IF(TabCalc[[#This Row],[M]]-TabCalc[[#This Row],[A]]&lt;=0,"",INT(DesiredSaleGain/(TabCalc[[#This Row],[M]]-IF(TabCalc[[#This Row],[E]]&gt;0,0,TabCalc[[#This Row],[A]]))))</f>
        <v>1763</v>
      </c>
      <c r="CV63" s="359">
        <f ca="1">IFERROR(TabCalc[[#This Row],[NME]]*TabCalc[[#This Row],[M]],"")</f>
        <v>63344.59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2.8350000000000009</v>
      </c>
      <c r="CX63" s="99">
        <f ca="1">IFERROR((TabCalc[[#This Row],[M]]+TabCalc[[#This Row],[L_Bp]])/ABS(TabCalc[[#This Row],[L_Bp]])/(TODAY()-TabCalc[[#This Row],[L_Bdate]])*360,"")</f>
        <v>0.23186838527047346</v>
      </c>
      <c r="CY63" s="333">
        <f ca="1">MEDIAN(DataShift!F758:Z758)</f>
        <v>1.9889999999999999E-3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88580.900000000009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220.9</v>
      </c>
      <c r="M64" s="799">
        <f ca="1">[1]!RTData[[#This Row],[Change%]]</f>
        <v>5.004999999999999E-3</v>
      </c>
      <c r="N64" s="1059">
        <v>0.42857142857142855</v>
      </c>
      <c r="O64" s="1059">
        <f>TabCalc[[#This Row],[Up20]]-1+TabCalc[[#This Row],[Up20]]</f>
        <v>-0.14285714285714285</v>
      </c>
      <c r="P64" s="1059">
        <f>TabCalc[[#This Row],[Up20]]-TabCalc[[#This Row],[Up150]]</f>
        <v>-2.1759697256386046E-2</v>
      </c>
      <c r="Q64" s="1059">
        <v>0.45033112582781459</v>
      </c>
      <c r="R64" s="1059">
        <f>TabCalc[[#This Row],[Up150]]-1+TabCalc[[#This Row],[Up150]]</f>
        <v>-9.9337748344370758E-2</v>
      </c>
      <c r="S64" s="1059">
        <f ca="1">IFERROR(SUMPRODUCT(DataShift!F1551:Z1551,DataShift!AB759:AV759)/SQRT(SUMPRODUCT(DataShift!F1551:Z1551,DataShift!F1551:Z1551)*SUMPRODUCT(DataShift!AB759:AV759,DataShift!AB759:AV759)),0)</f>
        <v>-0.50716255940234134</v>
      </c>
      <c r="T64" s="1059">
        <f ca="1">IFERROR(SUMPRODUCT(DataShift!F1551:Z1551,DataShift!F759:Z759)/SQRT(SUMPRODUCT(DataShift!F1551:Z1551,DataShift!F1551:Z1551)*SUMPRODUCT(DataShift!F759:Z759,DataShift!F759:Z759)),0)</f>
        <v>4.4736555450542927E-2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-6000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-7740.0000000000036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23290.000000000007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21450.000000000004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401</v>
      </c>
      <c r="AN64" s="357">
        <f ca="1">_xlfn.LET(_xlpm.MVToday,DataShift!AV561,         _xlpm.MVY,DataShift!AU561,        _xlpm.MVYY, DataShift!AT561,                                IF(_xlpm.MVToday=_xlpm.MVY,_xlpm.MVY-_xlpm.MVYY,_xlpm.MVToday-_xlpm.MVY))</f>
        <v>441.10000000000582</v>
      </c>
      <c r="AO64" s="357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-1563.8999999999942</v>
      </c>
      <c r="AP64" s="1192">
        <f ca="1">TabCalc[[#This Row],[Y]]/TabCalc[[#This Row],[M]]</f>
        <v>1.3214593481213219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64" s="91">
        <f t="shared" ca="1" si="3"/>
        <v>599</v>
      </c>
      <c r="AW64" s="99">
        <f ca="1">[1]!RTData[[#This Row],[V/VA]]</f>
        <v>1.0463940754867882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1.0463940754867882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76340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-55979.099999999991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52374.036999999931</v>
      </c>
      <c r="BJ64" s="173">
        <f ca="1">IF(        OR(      TabCalc[[#This Row],[GL]]&gt;ABS(TabCalc[[#This Row],[EfCost]])),             TabCalc[[#This Row],[GL]],     0)</f>
        <v>52374.036999999931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140.6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45912.770833333336</v>
      </c>
      <c r="BQ64" s="189">
        <f ca="1">(TabCalc[[#This Row],[ValueBegin]]+(TabCalc[[#This Row],[M]]-TabCalc[[#This Row],[A]])*TabCalc[[#This Row],[NAfter]])*TabCalc[[#This Row],[Scale]]</f>
        <v>-158341.98000000001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-13781.98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107.34220695577498</v>
      </c>
      <c r="CR64" s="435">
        <f ca="1">IF(TabCalc[[#This Row],[ntoBuy]]*TabCalc[[#This Row],[M]]&lt;=0,0,TabCalc[[#This Row],[ntoBuy]]*TabCalc[[#This Row],[M]])</f>
        <v>23711.893516530694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-13781.98</v>
      </c>
      <c r="CX64" s="99">
        <f ca="1">IFERROR((TabCalc[[#This Row],[M]]+TabCalc[[#This Row],[L_Bp]])/ABS(TabCalc[[#This Row],[L_Bp]])/(TODAY()-TabCalc[[#This Row],[L_Bdate]])*360,"")</f>
        <v>-0.84402035026844546</v>
      </c>
      <c r="CY64" s="333">
        <f ca="1">MEDIAN(DataShift!F759:Z759)</f>
        <v>1.0560000000000001E-3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20300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36.25</v>
      </c>
      <c r="M65" s="799">
        <f ca="1">[1]!RTData[[#This Row],[Change%]]</f>
        <v>2.5459999999999997E-2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-0.69247568150854821</v>
      </c>
      <c r="T65" s="1059">
        <f ca="1">IFERROR(SUMPRODUCT(DataShift!F1552:Z1552,DataShift!F760:Z760)/SQRT(SUMPRODUCT(DataShift!F1552:Z1552,DataShift!F1552:Z1552)*SUMPRODUCT(DataShift!F760:Z760,DataShift!F760:Z760)),0)</f>
        <v>-0.30903472806444859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-23,490</v>
      </c>
      <c r="W65" s="225">
        <f ca="1">MIN(TabCalc[[#This Row],[L_Bn]],TabCalc[[#This Row],[NAfter]])*(TabCalc[[#This Row],[M]]+TabCalc[[#This Row],[L_Bp]])*TabCalc[[#This Row],[Scale]]</f>
        <v>-45.824999999999889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-14.849999999999987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4723.84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7472.5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420</v>
      </c>
      <c r="AN65" s="357">
        <f ca="1">_xlfn.LET(_xlpm.MVToday,DataShift!AV562,         _xlpm.MVY,DataShift!AU562,        _xlpm.MVYY, DataShift!AT562,                                IF(_xlpm.MVToday=_xlpm.MVY,_xlpm.MVY-_xlpm.MVYY,_xlpm.MVToday-_xlpm.MVY))</f>
        <v>504</v>
      </c>
      <c r="AO65" s="357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-504</v>
      </c>
      <c r="AP65" s="1192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0.13715846994535519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0.13715846994535519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-1912.1714999999999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16756.5785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3380.4084999999977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46.24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45912.836805555555</v>
      </c>
      <c r="BQ65" s="189">
        <f ca="1">(TabCalc[[#This Row],[ValueBegin]]+(TabCalc[[#This Row],[M]]-TabCalc[[#This Row],[A]])*TabCalc[[#This Row],[NAfter]])*TabCalc[[#This Row],[Scale]]</f>
        <v>-6730.1765000000005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-3186.7550000000006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516.52892561983469</v>
      </c>
      <c r="CR65" s="435">
        <f ca="1">IF(TabCalc[[#This Row],[ntoBuy]]*TabCalc[[#This Row],[M]]&lt;=0,0,TabCalc[[#This Row],[ntoBuy]]*TabCalc[[#This Row],[M]])</f>
        <v>18724.173553719007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-3186.7550000000006</v>
      </c>
      <c r="CX65" s="99">
        <f ca="1">IFERROR((TabCalc[[#This Row],[M]]+TabCalc[[#This Row],[L_Bp]])/ABS(TabCalc[[#This Row],[L_Bp]])/(TODAY()-TabCalc[[#This Row],[L_Bdate]])*360,"")</f>
        <v>-0.20183223590037172</v>
      </c>
      <c r="CY65" s="333">
        <f ca="1">MEDIAN(DataShift!F760:Z760)</f>
        <v>2.663E-3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117035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234.07</v>
      </c>
      <c r="M66" s="799">
        <f ca="1">[1]!RTData[[#This Row],[Change%]]</f>
        <v>1.7562999999999999E-2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-0.62516971986977798</v>
      </c>
      <c r="T66" s="1059">
        <f ca="1">IFERROR(SUMPRODUCT(DataShift!F1553:Z1553,DataShift!F761:Z761)/SQRT(SUMPRODUCT(DataShift!F1553:Z1553,DataShift!F1553:Z1553)*SUMPRODUCT(DataShift!F761:Z761,DataShift!F761:Z761)),0)</f>
        <v>-6.6140254647004584E-2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10228.299999999996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14560.339999999997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-1157.9999999999955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2572.7999999999997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2425</v>
      </c>
      <c r="AN66" s="357">
        <f ca="1">_xlfn.LET(_xlpm.MVToday,DataShift!AV563,         _xlpm.MVY,DataShift!AU563,        _xlpm.MVYY, DataShift!AT563,                                IF(_xlpm.MVToday=_xlpm.MVY,_xlpm.MVY-_xlpm.MVYY,_xlpm.MVToday-_xlpm.MVY))</f>
        <v>1832.5</v>
      </c>
      <c r="AO66" s="357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2">
        <f ca="1">TabCalc[[#This Row],[Y]]/TabCalc[[#This Row],[M]]</f>
        <v>1.0062183534840006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66" s="91">
        <f t="shared" ca="1" si="3"/>
        <v>0</v>
      </c>
      <c r="AW66" s="99">
        <f ca="1">[1]!RTData[[#This Row],[V/VA]]</f>
        <v>1.0247636500725472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1.0247636500725472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82611.39999999998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82611.39999999998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110589.83999999997</v>
      </c>
      <c r="BJ66" s="173">
        <f ca="1">IF(        OR(      TabCalc[[#This Row],[GL]]&gt;ABS(TabCalc[[#This Row],[EfCost]])),             TabCalc[[#This Row],[GL]],     0)</f>
        <v>110589.83999999997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45912.856644582811</v>
      </c>
      <c r="BQ66" s="189">
        <f ca="1">(TabCalc[[#This Row],[ValueBegin]]+(TabCalc[[#This Row],[M]]-TabCalc[[#This Row],[A]])*TabCalc[[#This Row],[NAfter]])*TabCalc[[#This Row],[Scale]]</f>
        <v>-18855.375000000022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15568.224999999999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0</v>
      </c>
      <c r="CR66" s="435">
        <f ca="1">IF(TabCalc[[#This Row],[ntoBuy]]*TabCalc[[#This Row],[M]]&lt;=0,0,TabCalc[[#This Row],[ntoBuy]]*TabCalc[[#This Row],[M]])</f>
        <v>0</v>
      </c>
      <c r="CS66" s="435">
        <f ca="1">IF(TabCalc[[#This Row],[M]]&gt;ABS(TabCalc[[#This Row],[L_Bp]]),MIN(TabCalc[[#This Row],[NAfter]],DesiredSaleGain/(TabCalc[[#This Row],[M]]+TabCalc[[#This Row],[L_Bp]])),0)/TabCalc[[#This Row],[Scale]]</f>
        <v>141.76353841791899</v>
      </c>
      <c r="CT66" s="436">
        <f ca="1">TabCalc[[#This Row],[ntoSell]]*TabCalc[[#This Row],[M]]</f>
        <v>33182.591437482297</v>
      </c>
      <c r="CU66" s="428">
        <f ca="1">IF(TabCalc[[#This Row],[M]]-TabCalc[[#This Row],[A]]&lt;=0,"",INT(DesiredSaleGain/(TabCalc[[#This Row],[M]]-IF(TabCalc[[#This Row],[E]]&gt;0,0,TabCalc[[#This Row],[A]]))))</f>
        <v>160</v>
      </c>
      <c r="CV66" s="359">
        <f ca="1">IFERROR(TabCalc[[#This Row],[NME]]*TabCalc[[#This Row],[M]],"")</f>
        <v>37451.199999999997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15568.224999999999</v>
      </c>
      <c r="CX66" s="99">
        <f ca="1">IFERROR((TabCalc[[#This Row],[M]]+TabCalc[[#This Row],[L_Bp]])/ABS(TabCalc[[#This Row],[L_Bp]])/(TODAY()-TabCalc[[#This Row],[L_Bdate]])*360,"")</f>
        <v>0.68676575582527388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456300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228.15</v>
      </c>
      <c r="M67" s="799">
        <f ca="1">[1]!RTData[[#This Row],[Change%]]</f>
        <v>-7.8279999999999999E-3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0.38105130333111059</v>
      </c>
      <c r="T67" s="1059">
        <f ca="1">IFERROR(SUMPRODUCT(DataShift!F1554:Z1554,DataShift!F762:Z762)/SQRT(SUMPRODUCT(DataShift!F1554:Z1554,DataShift!F1554:Z1554)*SUMPRODUCT(DataShift!F762:Z762,DataShift!F762:Z762)),0)</f>
        <v>7.1562969065063875E-2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7450.0000000000027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8665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2284.9999999999964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-2075.0000000000027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-4400</v>
      </c>
      <c r="AN67" s="357">
        <f ca="1">_xlfn.LET(_xlpm.MVToday,DataShift!AV564,         _xlpm.MVY,DataShift!AU564,        _xlpm.MVYY, DataShift!AT564,                                IF(_xlpm.MVToday=_xlpm.MVY,_xlpm.MVY-_xlpm.MVYY,_xlpm.MVToday-_xlpm.MVY))</f>
        <v>-3990</v>
      </c>
      <c r="AO67" s="357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2">
        <f ca="1">TabCalc[[#This Row],[Y]]/TabCalc[[#This Row],[M]]</f>
        <v>1.153540784571554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7" s="91">
        <f t="shared" ref="AV67:AV95" ca="1" si="5">IF(G67&lt;C67,C67-G67,0)</f>
        <v>0</v>
      </c>
      <c r="AW67" s="99">
        <f ca="1">[1]!RTData[[#This Row],[V/VA]]</f>
        <v>1.0710485466714732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1.0710485466714732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142020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142020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173823.84100000001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233.83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45912.856605867972</v>
      </c>
      <c r="BQ67" s="189">
        <f ca="1">(TabCalc[[#This Row],[ValueBegin]]+(TabCalc[[#This Row],[M]]-TabCalc[[#This Row],[A]])*TabCalc[[#This Row],[NAfter]])*TabCalc[[#This Row],[Scale]]</f>
        <v>-257855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56425.000000000015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1094.0919037199142</v>
      </c>
      <c r="CR67" s="435">
        <f ca="1">IF(TabCalc[[#This Row],[ntoBuy]]*TabCalc[[#This Row],[M]]&lt;=0,0,TabCalc[[#This Row],[ntoBuy]]*TabCalc[[#This Row],[M]])</f>
        <v>249617.06783369841</v>
      </c>
      <c r="CS67" s="435">
        <f ca="1">IF(TabCalc[[#This Row],[M]]&gt;ABS(TabCalc[[#This Row],[L_Bp]]),MIN(TabCalc[[#This Row],[NAfter]],DesiredSaleGain/(TabCalc[[#This Row],[M]]+TabCalc[[#This Row],[L_Bp]])),0)/TabCalc[[#This Row],[Scale]]</f>
        <v>335.5704697986576</v>
      </c>
      <c r="CT67" s="436">
        <f ca="1">TabCalc[[#This Row],[ntoSell]]*TabCalc[[#This Row],[M]]</f>
        <v>76560.402684563727</v>
      </c>
      <c r="CU67" s="428">
        <f ca="1">IF(TabCalc[[#This Row],[M]]-TabCalc[[#This Row],[A]]&lt;=0,"",INT(DesiredSaleGain/(TabCalc[[#This Row],[M]]-IF(TabCalc[[#This Row],[E]]&gt;0,0,TabCalc[[#This Row],[A]]))))</f>
        <v>177</v>
      </c>
      <c r="CV67" s="359">
        <f ca="1">IFERROR(TabCalc[[#This Row],[NME]]*TabCalc[[#This Row],[M]],"")</f>
        <v>40382.550000000003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56425.000000000015</v>
      </c>
      <c r="CX67" s="99">
        <f ca="1">IFERROR((TabCalc[[#This Row],[M]]+TabCalc[[#This Row],[L_Bp]])/ABS(TabCalc[[#This Row],[L_Bp]])/(TODAY()-TabCalc[[#This Row],[L_Bdate]])*360,"")</f>
        <v>0.27046855500510542</v>
      </c>
      <c r="CY67" s="333">
        <f ca="1">MEDIAN(DataShift!F762:Z762)</f>
        <v>-8.0320000000000001E-4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124163.99999999999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689.8</v>
      </c>
      <c r="M68" s="799">
        <f ca="1">[1]!RTData[[#This Row],[Change%]]</f>
        <v>5.5389999999999997E-3</v>
      </c>
      <c r="N68" s="1059">
        <v>0.61904761904761907</v>
      </c>
      <c r="O68" s="1059">
        <f>TabCalc[[#This Row],[Up20]]-1+TabCalc[[#This Row],[Up20]]</f>
        <v>0.23809523809523814</v>
      </c>
      <c r="P68" s="1059">
        <f>TabCalc[[#This Row],[Up20]]-TabCalc[[#This Row],[Up150]]</f>
        <v>0.11573636076947336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0.10188540681119072</v>
      </c>
      <c r="T68" s="1059">
        <f ca="1">IFERROR(SUMPRODUCT(DataShift!F1555:Z1555,DataShift!F763:Z763)/SQRT(SUMPRODUCT(DataShift!F1555:Z1555,DataShift!F1555:Z1555)*SUMPRODUCT(DataShift!F763:Z763,DataShift!F763:Z763)),0)</f>
        <v>0.4840492759106419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1414.9999999999977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938.60999999999422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-1598.3999999999951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-5487.2399999999989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323.99999999998545</v>
      </c>
      <c r="AN68" s="357">
        <f ca="1">_xlfn.LET(_xlpm.MVToday,DataShift!AV565,         _xlpm.MVY,DataShift!AU565,        _xlpm.MVYY, DataShift!AT565,                                IF(_xlpm.MVToday=_xlpm.MVY,_xlpm.MVY-_xlpm.MVYY,_xlpm.MVToday-_xlpm.MVY))</f>
        <v>683.99999999998545</v>
      </c>
      <c r="AO68" s="357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1043.9999999999854</v>
      </c>
      <c r="AP68" s="1192">
        <f ca="1">TabCalc[[#This Row],[Y]]/TabCalc[[#This Row],[M]]</f>
        <v>1.0988692374601334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68" s="91">
        <f t="shared" ca="1" si="5"/>
        <v>0</v>
      </c>
      <c r="AW68" s="99">
        <f ca="1">[1]!RTData[[#This Row],[V/VA]]</f>
        <v>0.79148683855897939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0.79148683855897939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10681.600000000006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24477.599999999991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124377.258</v>
      </c>
      <c r="BJ68" s="173">
        <f ca="1">IF(        OR(      TabCalc[[#This Row],[GL]]&gt;ABS(TabCalc[[#This Row],[EfCost]])),             TabCalc[[#This Row],[GL]],     0)</f>
        <v>124377.258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45912.666666666664</v>
      </c>
      <c r="BQ68" s="189">
        <f ca="1">(TabCalc[[#This Row],[ValueBegin]]+(TabCalc[[#This Row],[M]]-TabCalc[[#This Row],[A]])*TabCalc[[#This Row],[NAfter]])*TabCalc[[#This Row],[Scale]]</f>
        <v>-97457.937999999995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2228.4619999999927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176.67844522968227</v>
      </c>
      <c r="CT68" s="436">
        <f ca="1">TabCalc[[#This Row],[ntoSell]]*TabCalc[[#This Row],[M]]</f>
        <v>121872.79151943482</v>
      </c>
      <c r="CU68" s="428">
        <f ca="1">IF(TabCalc[[#This Row],[M]]-TabCalc[[#This Row],[A]]&lt;=0,"",INT(DesiredSaleGain/(TabCalc[[#This Row],[M]]-IF(TabCalc[[#This Row],[E]]&gt;0,0,TabCalc[[#This Row],[A]]))))</f>
        <v>403</v>
      </c>
      <c r="CV68" s="359">
        <f ca="1">IFERROR(TabCalc[[#This Row],[NME]]*TabCalc[[#This Row],[M]],"")</f>
        <v>277989.39999999997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2228.4619999999927</v>
      </c>
      <c r="CX68" s="99">
        <f ca="1">IFERROR((TabCalc[[#This Row],[M]]+TabCalc[[#This Row],[L_Bp]])/ABS(TabCalc[[#This Row],[L_Bp]])/(TODAY()-TabCalc[[#This Row],[L_Bdate]])*360,"")</f>
        <v>9.059623849539801E-2</v>
      </c>
      <c r="CY68" s="333">
        <f ca="1">MEDIAN(DataShift!F763:Z763)</f>
        <v>5.5389999999999997E-3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269225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2.2250000000000001</v>
      </c>
      <c r="M69" s="799">
        <f ca="1">[1]!RTData[[#This Row],[Change%]]</f>
        <v>-1.1110999999999999E-2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-0.50550489314611702</v>
      </c>
      <c r="T69" s="1059">
        <f ca="1">IFERROR(SUMPRODUCT(DataShift!F1556:Z1556,DataShift!F764:Z764)/SQRT(SUMPRODUCT(DataShift!F1556:Z1556,DataShift!F1556:Z1556)*SUMPRODUCT(DataShift!F764:Z764,DataShift!F764:Z764)),0)</f>
        <v>-4.7345092436956282E-2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10,614 = $ 23,616</v>
      </c>
      <c r="W69" s="225">
        <f ca="1">MIN(TabCalc[[#This Row],[L_Bn]],TabCalc[[#This Row],[NAfter]])*(TabCalc[[#This Row],[M]]+TabCalc[[#This Row],[L_Bp]])*TabCalc[[#This Row],[Scale]]</f>
        <v>6216.0000000000009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-11657.499999999998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11279.999999999998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47499.999999999993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-5445</v>
      </c>
      <c r="AN69" s="357">
        <f ca="1">_xlfn.LET(_xlpm.MVToday,DataShift!AV566,         _xlpm.MVY,DataShift!AU566,        _xlpm.MVYY, DataShift!AT566,                                IF(_xlpm.MVToday=_xlpm.MVY,_xlpm.MVY-_xlpm.MVYY,_xlpm.MVToday-_xlpm.MVY))</f>
        <v>-3025</v>
      </c>
      <c r="AO69" s="357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2">
        <f ca="1">TabCalc[[#This Row],[Y]]/TabCalc[[#This Row],[M]]</f>
        <v>1.4606741573033708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69" s="91">
        <f t="shared" ca="1" si="5"/>
        <v>0</v>
      </c>
      <c r="AW69" s="99">
        <f ca="1">[1]!RTData[[#This Row],[V/VA]]</f>
        <v>0.41372923122963995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0.41372923122963995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-40277.25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227056.5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-147612.91999999998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4.29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45912.85209288125</v>
      </c>
      <c r="BQ69" s="189">
        <f ca="1">(TabCalc[[#This Row],[ValueBegin]]+(TabCalc[[#This Row],[M]]-TabCalc[[#This Row],[A]])*TabCalc[[#This Row],[NAfter]])*TabCalc[[#This Row],[Scale]]</f>
        <v>-177073.35499999998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-134904.85499999998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2216.312056737589</v>
      </c>
      <c r="CR69" s="435">
        <f ca="1">IF(TabCalc[[#This Row],[ntoBuy]]*TabCalc[[#This Row],[M]]&lt;=0,0,TabCalc[[#This Row],[ntoBuy]]*TabCalc[[#This Row],[M]])</f>
        <v>4931.2943262411354</v>
      </c>
      <c r="CS69" s="435">
        <f ca="1">IF(TabCalc[[#This Row],[M]]&gt;ABS(TabCalc[[#This Row],[L_Bp]]),MIN(TabCalc[[#This Row],[NAfter]],DesiredSaleGain/(TabCalc[[#This Row],[M]]+TabCalc[[#This Row],[L_Bp]])),0)/TabCalc[[#This Row],[Scale]]</f>
        <v>16891.89189189189</v>
      </c>
      <c r="CT69" s="436">
        <f ca="1">TabCalc[[#This Row],[ntoSell]]*TabCalc[[#This Row],[M]]</f>
        <v>37584.459459459453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-134904.85499999998</v>
      </c>
      <c r="CX69" s="99">
        <f ca="1">IFERROR((TabCalc[[#This Row],[M]]+TabCalc[[#This Row],[L_Bp]])/ABS(TabCalc[[#This Row],[L_Bp]])/(TODAY()-TabCalc[[#This Row],[L_Bdate]])*360,"")</f>
        <v>0.45279555362924828</v>
      </c>
      <c r="CY69" s="333">
        <f ca="1">MEDIAN(DataShift!F764:Z764)</f>
        <v>-1.6055E-2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77699.899999999994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115.97</v>
      </c>
      <c r="M70" s="799">
        <f ca="1">[1]!RTData[[#This Row],[Change%]]</f>
        <v>-9.4809999999999998E-3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-0.27625982783491193</v>
      </c>
      <c r="T70" s="1059">
        <f ca="1">IFERROR(SUMPRODUCT(DataShift!F1557:Z1557,DataShift!F765:Z765)/SQRT(SUMPRODUCT(DataShift!F1557:Z1557,DataShift!F1557:Z1557)*SUMPRODUCT(DataShift!F765:Z765,DataShift!F765:Z765)),0)</f>
        <v>-0.14002940973088324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4931.2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11509.999999999998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2310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2679.9999999999955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-194.30000000000291</v>
      </c>
      <c r="AN70" s="357">
        <f ca="1">_xlfn.LET(_xlpm.MVToday,DataShift!AV567,         _xlpm.MVY,DataShift!AU567,        _xlpm.MVYY, DataShift!AT567,                                IF(_xlpm.MVToday=_xlpm.MVY,_xlpm.MVY-_xlpm.MVYY,_xlpm.MVToday-_xlpm.MVY))</f>
        <v>-787.25</v>
      </c>
      <c r="AO70" s="357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2">
        <f ca="1">TabCalc[[#This Row],[Y]]/TabCalc[[#This Row],[M]]</f>
        <v>1.1401736656031733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70" s="91">
        <f t="shared" ca="1" si="5"/>
        <v>1120</v>
      </c>
      <c r="AW70" s="99">
        <f ca="1">[1]!RTData[[#This Row],[V/VA]]</f>
        <v>1.0857649478121689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1.0857649478121689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20477.599999999977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-109408.80000000002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40809.419999999976</v>
      </c>
      <c r="BJ70" s="173">
        <f ca="1">IF(        OR(      TabCalc[[#This Row],[GL]]&gt;ABS(TabCalc[[#This Row],[EfCost]])),             TabCalc[[#This Row],[GL]],     0)</f>
        <v>40809.419999999976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89.95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45912.855752546093</v>
      </c>
      <c r="BQ70" s="189">
        <f ca="1">(TabCalc[[#This Row],[ValueBegin]]+(TabCalc[[#This Row],[M]]-TabCalc[[#This Row],[A]])*TabCalc[[#This Row],[NAfter]])*TabCalc[[#This Row],[Scale]]</f>
        <v>-182177.5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4931.2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714.28571428571433</v>
      </c>
      <c r="CR70" s="435">
        <f ca="1">IF(TabCalc[[#This Row],[ntoBuy]]*TabCalc[[#This Row],[M]]&lt;=0,0,TabCalc[[#This Row],[ntoBuy]]*TabCalc[[#This Row],[M]])</f>
        <v>82835.71428571429</v>
      </c>
      <c r="CS70" s="435">
        <f ca="1">IF(TabCalc[[#This Row],[M]]&gt;ABS(TabCalc[[#This Row],[L_Bp]]),MIN(TabCalc[[#This Row],[NAfter]],DesiredSaleGain/(TabCalc[[#This Row],[M]]+TabCalc[[#This Row],[L_Bp]])),0)/TabCalc[[#This Row],[Scale]]</f>
        <v>670</v>
      </c>
      <c r="CT70" s="436">
        <f ca="1">TabCalc[[#This Row],[ntoSell]]*TabCalc[[#This Row],[M]]</f>
        <v>77699.899999999994</v>
      </c>
      <c r="CU70" s="428">
        <f ca="1">IF(TabCalc[[#This Row],[M]]-TabCalc[[#This Row],[A]]&lt;=0,"",INT(DesiredSaleGain/(TabCalc[[#This Row],[M]]-IF(TabCalc[[#This Row],[E]]&gt;0,0,TabCalc[[#This Row],[A]]))))</f>
        <v>679</v>
      </c>
      <c r="CV70" s="359">
        <f ca="1">IFERROR(TabCalc[[#This Row],[NME]]*TabCalc[[#This Row],[M]],"")</f>
        <v>78743.63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4931.2</v>
      </c>
      <c r="CX70" s="99">
        <f ca="1">IFERROR((TabCalc[[#This Row],[M]]+TabCalc[[#This Row],[L_Bp]])/ABS(TabCalc[[#This Row],[L_Bp]])/(TODAY()-TabCalc[[#This Row],[L_Bdate]])*360,"")</f>
        <v>9.9573647707863186E-2</v>
      </c>
      <c r="CY70" s="333">
        <f ca="1">MEDIAN(DataShift!F765:Z765)</f>
        <v>-3.4749999999999998E-3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58.505000000000003</v>
      </c>
      <c r="M71" s="799">
        <f ca="1">[1]!RTData[[#This Row],[Change%]]</f>
        <v>-3.4920000000000003E-3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-6.9295892867523717E-2</v>
      </c>
      <c r="T71" s="1059">
        <f ca="1">IFERROR(SUMPRODUCT(DataShift!F1558:Z1558,DataShift!F766:Z766)/SQRT(SUMPRODUCT(DataShift!F1558:Z1558,DataShift!F1558:Z1558)*SUMPRODUCT(DataShift!F766:Z766,DataShift!F766:Z766)),0)</f>
        <v>-1.647786167256524E-2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-19743.2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-39379.199999999997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7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7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2">
        <f ca="1">TabCalc[[#This Row],[Y]]/TabCalc[[#This Row],[M]]</f>
        <v>0.97769421416972913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71" s="91">
        <f t="shared" ca="1" si="5"/>
        <v>3900</v>
      </c>
      <c r="AW71" s="99">
        <f ca="1">[1]!RTData[[#This Row],[V/VA]]</f>
        <v>1.8756512069792939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1.8756512069792939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74821.5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45912.855596388283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4972.9250000000002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0.2739021939135039</v>
      </c>
      <c r="CY71" s="333">
        <f ca="1">MEDIAN(DataShift!F766:Z766)</f>
        <v>-1.0199999999999999E-3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</v>
      </c>
      <c r="M72" s="799">
        <f ca="1">[1]!RTData[[#This Row],[Change%]]</f>
        <v>-7.8469999999999994E-4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0.70095704490432931</v>
      </c>
      <c r="T72" s="1059">
        <f ca="1">IFERROR(SUMPRODUCT(DataShift!F1559:Z1559,DataShift!F767:Z767)/SQRT(SUMPRODUCT(DataShift!F1559:Z1559,DataShift!F1559:Z1559)*SUMPRODUCT(DataShift!F767:Z767,DataShift!F767:Z767)),0)</f>
        <v>-0.11333698809094253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-80079.999999999985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-42425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7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7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2">
        <f ca="1">TabCalc[[#This Row],[Y]]/TabCalc[[#This Row],[M]]</f>
        <v>1.1409369109947645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72" s="91">
        <f t="shared" ca="1" si="5"/>
        <v>200000</v>
      </c>
      <c r="AW72" s="99">
        <f ca="1">[1]!RTData[[#This Row],[V/VA]]</f>
        <v>0.78391580326449306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0.78391580326449306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432000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45912.644570450779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4966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0.9940019608973989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117550.00000000001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23.51</v>
      </c>
      <c r="M73" s="799">
        <f ca="1">[1]!RTData[[#This Row],[Change%]]</f>
        <v>-7.4045E-2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-0.48716271254536347</v>
      </c>
      <c r="T73" s="1059">
        <f ca="1">IFERROR(SUMPRODUCT(DataShift!F1560:Z1560,DataShift!F768:Z768)/SQRT(SUMPRODUCT(DataShift!F1560:Z1560,DataShift!F1560:Z1560)*SUMPRODUCT(DataShift!F768:Z768,DataShift!F768:Z768)),0)</f>
        <v>0.26112618156702178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4,215 = $ 99,094</v>
      </c>
      <c r="W73" s="225">
        <f ca="1">MIN(TabCalc[[#This Row],[L_Bn]],TabCalc[[#This Row],[NAfter]])*(TabCalc[[#This Row],[M]]+TabCalc[[#This Row],[L_Bp]])*TabCalc[[#This Row],[Scale]]</f>
        <v>-45907.8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-49031.7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20117.999999999996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30877.73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-8574.9999999999854</v>
      </c>
      <c r="AN73" s="357">
        <f ca="1">_xlfn.LET(_xlpm.MVToday,DataShift!AV570,         _xlpm.MVY,DataShift!AU570,        _xlpm.MVYY, DataShift!AT570,                                IF(_xlpm.MVToday=_xlpm.MVY,_xlpm.MVY-_xlpm.MVYY,_xlpm.MVToday-_xlpm.MVY))</f>
        <v>-9349.9999999999854</v>
      </c>
      <c r="AO73" s="357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2">
        <f ca="1">TabCalc[[#This Row],[Y]]/TabCalc[[#This Row],[M]]</f>
        <v>1.8821777966822628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73" s="91">
        <f t="shared" ca="1" si="5"/>
        <v>0</v>
      </c>
      <c r="AW73" s="99">
        <f ca="1">[1]!RTData[[#This Row],[V/VA]]</f>
        <v>3.179281276546623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3.179281276546623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-51420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54375.000000000015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-180866.99599999998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40.99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45912.856650265625</v>
      </c>
      <c r="BQ73" s="189">
        <f ca="1">(TabCalc[[#This Row],[ValueBegin]]+(TabCalc[[#This Row],[M]]-TabCalc[[#This Row],[A]])*TabCalc[[#This Row],[NAfter]])*TabCalc[[#This Row],[Scale]]</f>
        <v>-254295.57550000004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-191120.57550000004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49.706730291281445</v>
      </c>
      <c r="CR73" s="435">
        <f ca="1">IF(TabCalc[[#This Row],[ntoBuy]]*TabCalc[[#This Row],[M]]&lt;=0,0,TabCalc[[#This Row],[ntoBuy]]*TabCalc[[#This Row],[M]])</f>
        <v>1168.6052291480269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-191120.57550000004</v>
      </c>
      <c r="CX73" s="99">
        <f ca="1">IFERROR((TabCalc[[#This Row],[M]]+TabCalc[[#This Row],[L_Bp]])/ABS(TabCalc[[#This Row],[L_Bp]])/(TODAY()-TabCalc[[#This Row],[L_Bdate]])*360,"")</f>
        <v>-0.60917078850483475</v>
      </c>
      <c r="CY73" s="333">
        <f ca="1">MEDIAN(DataShift!F768:Z768)</f>
        <v>-1.0045E-2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214400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1.34</v>
      </c>
      <c r="M74" s="799">
        <f ca="1">[1]!RTData[[#This Row],[Change%]]</f>
        <v>7.2000000000000008E-2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4.0365815200252286E-2</v>
      </c>
      <c r="Q74" s="1059">
        <v>0.48344370860927155</v>
      </c>
      <c r="R74" s="1059">
        <f>TabCalc[[#This Row],[Up150]]-1+TabCalc[[#This Row],[Up150]]</f>
        <v>-3.3112582781456901E-2</v>
      </c>
      <c r="S74" s="1059">
        <f ca="1">IFERROR(SUMPRODUCT(DataShift!F1561:Z1561,DataShift!AB769:AV769)/SQRT(SUMPRODUCT(DataShift!F1561:Z1561,DataShift!F1561:Z1561)*SUMPRODUCT(DataShift!AB769:AV769,DataShift!AB769:AV769)),0)</f>
        <v>3.0328105218618208E-2</v>
      </c>
      <c r="T74" s="1059">
        <f ca="1">IFERROR(SUMPRODUCT(DataShift!F1561:Z1561,DataShift!F769:Z769)/SQRT(SUMPRODUCT(DataShift!F1561:Z1561,DataShift!F1561:Z1561)*SUMPRODUCT(DataShift!F769:Z769,DataShift!F769:Z769)),0)</f>
        <v>0.24102331272263058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6,621 = $ 8,872</v>
      </c>
      <c r="W74" s="225">
        <f ca="1">MIN(TabCalc[[#This Row],[L_Bn]],TabCalc[[#This Row],[NAfter]])*(TabCalc[[#This Row],[M]]+TabCalc[[#This Row],[L_Bp]])*TabCalc[[#This Row],[Scale]]</f>
        <v>13120.000000000004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-11999.999999999998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26809.5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39599.999999999993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12800</v>
      </c>
      <c r="AN74" s="357">
        <f ca="1">_xlfn.LET(_xlpm.MVToday,DataShift!AV571,         _xlpm.MVY,DataShift!AU571,        _xlpm.MVYY, DataShift!AT571,                                IF(_xlpm.MVToday=_xlpm.MVY,_xlpm.MVY-_xlpm.MVYY,_xlpm.MVToday-_xlpm.MVY))</f>
        <v>15199.999999999971</v>
      </c>
      <c r="AO74" s="357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2">
        <f ca="1">TabCalc[[#This Row],[Y]]/TabCalc[[#This Row],[M]]</f>
        <v>1.7910447761194028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-0.37034079601990028</v>
      </c>
      <c r="AV74" s="91">
        <f t="shared" ca="1" si="5"/>
        <v>0</v>
      </c>
      <c r="AW74" s="99">
        <f ca="1">[1]!RTData[[#This Row],[V/VA]]</f>
        <v>1.6077873897209047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1.6077873897209047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-171000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3200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-294870.89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3.67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45912.856228344528</v>
      </c>
      <c r="BQ74" s="189">
        <f ca="1">(TabCalc[[#This Row],[ValueBegin]]+(TabCalc[[#This Row],[M]]-TabCalc[[#This Row],[A]])*TabCalc[[#This Row],[NAfter]])*TabCalc[[#This Row],[Scale]]</f>
        <v>-387818.92499999993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-176618.92499999996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2797.515805964304</v>
      </c>
      <c r="CR74" s="435">
        <f ca="1">IF(TabCalc[[#This Row],[ntoBuy]]*TabCalc[[#This Row],[M]]&lt;=0,0,TabCalc[[#This Row],[ntoBuy]]*TabCalc[[#This Row],[M]])</f>
        <v>3748.6711799921677</v>
      </c>
      <c r="CS74" s="435">
        <f ca="1">IF(TabCalc[[#This Row],[M]]&gt;ABS(TabCalc[[#This Row],[L_Bp]]),MIN(TabCalc[[#This Row],[NAfter]],DesiredSaleGain/(TabCalc[[#This Row],[M]]+TabCalc[[#This Row],[L_Bp]])),0)/TabCalc[[#This Row],[Scale]]</f>
        <v>15243.902439024387</v>
      </c>
      <c r="CT74" s="436">
        <f ca="1">TabCalc[[#This Row],[ntoSell]]*TabCalc[[#This Row],[M]]</f>
        <v>20426.82926829268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-176618.92499999996</v>
      </c>
      <c r="CX74" s="99">
        <f ca="1">IFERROR((TabCalc[[#This Row],[M]]+TabCalc[[#This Row],[L_Bp]])/ABS(TabCalc[[#This Row],[L_Bp]])/(TODAY()-TabCalc[[#This Row],[L_Bdate]])*360,"")</f>
        <v>1.4958954089388874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29764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14.882</v>
      </c>
      <c r="M75" s="799">
        <f ca="1">[1]!RTData[[#This Row],[Change%]]</f>
        <v>-2.6810000000000002E-3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0.90140664728597919</v>
      </c>
      <c r="T75" s="1059">
        <f ca="1">IFERROR(SUMPRODUCT(DataShift!F1562:Z1562,DataShift!F770:Z770)/SQRT(SUMPRODUCT(DataShift!F1562:Z1562,DataShift!F1562:Z1562)*SUMPRODUCT(DataShift!F770:Z770,DataShift!F770:Z770)),0)</f>
        <v>9.0312329966775393E-2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1807.9999999999998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3024.0000000000009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656.00000000000239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-247.99999999999756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104</v>
      </c>
      <c r="AN75" s="357">
        <f ca="1">_xlfn.LET(_xlpm.MVToday,DataShift!AV572,         _xlpm.MVY,DataShift!AU572,        _xlpm.MVYY, DataShift!AT572,                                IF(_xlpm.MVToday=_xlpm.MVY,_xlpm.MVY-_xlpm.MVYY,_xlpm.MVToday-_xlpm.MVY))</f>
        <v>-80</v>
      </c>
      <c r="AO75" s="357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-72</v>
      </c>
      <c r="AP75" s="1192">
        <f ca="1">TabCalc[[#This Row],[Y]]/TabCalc[[#This Row],[M]]</f>
        <v>1.0233839537696547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75" s="91">
        <f t="shared" ca="1" si="5"/>
        <v>5300</v>
      </c>
      <c r="AW75" s="99">
        <f ca="1">[1]!RTData[[#This Row],[V/VA]]</f>
        <v>0.73234913528008072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0.73234913528008072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8774.5999999999913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-70100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11561.036000000022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15.05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45912.666666666664</v>
      </c>
      <c r="BQ75" s="189">
        <f ca="1">(TabCalc[[#This Row],[ValueBegin]]+(TabCalc[[#This Row],[M]]-TabCalc[[#This Row],[A]])*TabCalc[[#This Row],[NAfter]])*TabCalc[[#This Row],[Scale]]</f>
        <v>-98056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1807.9999999999998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15243.902439024336</v>
      </c>
      <c r="CR75" s="435">
        <f ca="1">IF(TabCalc[[#This Row],[ntoBuy]]*TabCalc[[#This Row],[M]]&lt;=0,0,TabCalc[[#This Row],[ntoBuy]]*TabCalc[[#This Row],[M]])</f>
        <v>226859.75609756017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29764</v>
      </c>
      <c r="CU75" s="428">
        <f ca="1">IF(TabCalc[[#This Row],[M]]-TabCalc[[#This Row],[A]]&lt;=0,"",INT(DesiredSaleGain/(TabCalc[[#This Row],[M]]-IF(TabCalc[[#This Row],[E]]&gt;0,0,TabCalc[[#This Row],[A]]))))</f>
        <v>5530</v>
      </c>
      <c r="CV75" s="359">
        <f ca="1">IFERROR(TabCalc[[#This Row],[NME]]*TabCalc[[#This Row],[M]],"")</f>
        <v>82297.459999999992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1807.9999999999998</v>
      </c>
      <c r="CX75" s="99">
        <f ca="1">IFERROR((TabCalc[[#This Row],[M]]+TabCalc[[#This Row],[L_Bp]])/ABS(TabCalc[[#This Row],[L_Bp]])/(TODAY()-TabCalc[[#This Row],[L_Bdate]])*360,"")</f>
        <v>0.11469113674056415</v>
      </c>
      <c r="CY75" s="333">
        <f ca="1">MEDIAN(DataShift!F770:Z770)</f>
        <v>1.1819999999999999E-3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93860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469.3</v>
      </c>
      <c r="M76" s="799">
        <f ca="1">[1]!RTData[[#This Row],[Change%]]</f>
        <v>7.9469999999999992E-3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-0.72261389979508672</v>
      </c>
      <c r="T76" s="1059">
        <f ca="1">IFERROR(SUMPRODUCT(DataShift!F1563:Z1563,DataShift!F771:Z771)/SQRT(SUMPRODUCT(DataShift!F1563:Z1563,DataShift!F1563:Z1563)*SUMPRODUCT(DataShift!F771:Z771,DataShift!F771:Z771)),0)</f>
        <v>-7.3647724191918729E-2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-1159.9999999999966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-5490.0000000000036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13482.000000000007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5408.9999999999964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160</v>
      </c>
      <c r="AN76" s="357">
        <f ca="1">_xlfn.LET(_xlpm.MVToday,DataShift!AV573,         _xlpm.MVY,DataShift!AU573,        _xlpm.MVYY, DataShift!AT573,                                IF(_xlpm.MVToday=_xlpm.MVY,_xlpm.MVY-_xlpm.MVYY,_xlpm.MVToday-_xlpm.MVY))</f>
        <v>740</v>
      </c>
      <c r="AO76" s="357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900</v>
      </c>
      <c r="AP76" s="1192">
        <f ca="1">TabCalc[[#This Row],[Y]]/TabCalc[[#This Row],[M]]</f>
        <v>1.4035371830385679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-21.972390336827544</v>
      </c>
      <c r="AV76" s="91">
        <f t="shared" ca="1" si="5"/>
        <v>0</v>
      </c>
      <c r="AW76" s="99">
        <f ca="1">[1]!RTData[[#This Row],[V/VA]]</f>
        <v>0.65377659574468083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0.65377659574468083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-8495.2799999999988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-5867.1999999999971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26551.403000000006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532.57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45912.640255358594</v>
      </c>
      <c r="BQ76" s="189">
        <f ca="1">(TabCalc[[#This Row],[ValueBegin]]+(TabCalc[[#This Row],[M]]-TabCalc[[#This Row],[A]])*TabCalc[[#This Row],[NAfter]])*TabCalc[[#This Row],[Scale]]</f>
        <v>-7647.2719999999999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-665000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66.755674232309715</v>
      </c>
      <c r="CR76" s="435">
        <f ca="1">IF(TabCalc[[#This Row],[ntoBuy]]*TabCalc[[#This Row],[M]]&lt;=0,0,TabCalc[[#This Row],[ntoBuy]]*TabCalc[[#This Row],[M]])</f>
        <v>31328.437917222949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-6650</v>
      </c>
      <c r="CX76" s="99">
        <f ca="1">IFERROR((TabCalc[[#This Row],[M]]+TabCalc[[#This Row],[L_Bp]])/ABS(TabCalc[[#This Row],[L_Bp]])/(TODAY()-TabCalc[[#This Row],[L_Bdate]])*360,"")</f>
        <v>-0.8683718028696169</v>
      </c>
      <c r="CY76" s="333">
        <f ca="1">MEDIAN(DataShift!F771:Z771)</f>
        <v>5.5459999999999997E-3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35040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11.68</v>
      </c>
      <c r="M77" s="799">
        <f ca="1">[1]!RTData[[#This Row],[Change%]]</f>
        <v>-6.803E-3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-0.26866474395519918</v>
      </c>
      <c r="T77" s="1059">
        <f ca="1">IFERROR(SUMPRODUCT(DataShift!F1564:Z1564,DataShift!F772:Z772)/SQRT(SUMPRODUCT(DataShift!F1564:Z1564,DataShift!F1564:Z1564)*SUMPRODUCT(DataShift!F772:Z772,DataShift!F772:Z772)),0)</f>
        <v>0.32534019630453598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7335.0000000000009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6210.0000000000009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-539.99999999999909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-5899.9999999999982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-222</v>
      </c>
      <c r="AN77" s="357">
        <f ca="1">_xlfn.LET(_xlpm.MVToday,DataShift!AV574,         _xlpm.MVY,DataShift!AU574,        _xlpm.MVYY, DataShift!AT574,                                IF(_xlpm.MVToday=_xlpm.MVY,_xlpm.MVY-_xlpm.MVYY,_xlpm.MVToday-_xlpm.MVY))</f>
        <v>-225</v>
      </c>
      <c r="AO77" s="357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2">
        <f ca="1">TabCalc[[#This Row],[Y]]/TabCalc[[#This Row],[M]]</f>
        <v>0.92380136986301364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5.593784516358385E-3</v>
      </c>
      <c r="AV77" s="91">
        <f t="shared" ca="1" si="5"/>
        <v>9000</v>
      </c>
      <c r="AW77" s="99">
        <f ca="1">[1]!RTData[[#This Row],[V/VA]]</f>
        <v>0.97213522762766735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0.97213522762766735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-21720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-126840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-13640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45912.856394767972</v>
      </c>
      <c r="BQ77" s="189">
        <f ca="1">(TabCalc[[#This Row],[ValueBegin]]+(TabCalc[[#This Row],[M]]-TabCalc[[#This Row],[A]])*TabCalc[[#This Row],[NAfter]])*TabCalc[[#This Row],[Scale]]</f>
        <v>-154545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7335.0000000000009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2044.9897750511245</v>
      </c>
      <c r="CT77" s="436">
        <f ca="1">TabCalc[[#This Row],[ntoSell]]*TabCalc[[#This Row],[M]]</f>
        <v>23885.480572597135</v>
      </c>
      <c r="CU77" s="428">
        <f ca="1">IF(TabCalc[[#This Row],[M]]-TabCalc[[#This Row],[A]]&lt;=0,"",INT(DesiredSaleGain/(TabCalc[[#This Row],[M]]-IF(TabCalc[[#This Row],[E]]&gt;0,0,TabCalc[[#This Row],[A]]))))</f>
        <v>2044</v>
      </c>
      <c r="CV77" s="359">
        <f ca="1">IFERROR(TabCalc[[#This Row],[NME]]*TabCalc[[#This Row],[M]],"")</f>
        <v>23873.919999999998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7335.0000000000009</v>
      </c>
      <c r="CX77" s="99">
        <f ca="1">IFERROR((TabCalc[[#This Row],[M]]+TabCalc[[#This Row],[L_Bp]])/ABS(TabCalc[[#This Row],[L_Bp]])/(TODAY()-TabCalc[[#This Row],[L_Bdate]])*360,"")</f>
        <v>0.46267628954852014</v>
      </c>
      <c r="CY77" s="333">
        <f ca="1">MEDIAN(DataShift!F772:Z772)</f>
        <v>-5.0980000000000001E-3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57.26</v>
      </c>
      <c r="M78" s="799">
        <f ca="1">[1]!RTData[[#This Row],[Change%]]</f>
        <v>-5.9030000000000003E-3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0.50353001278841536</v>
      </c>
      <c r="T78" s="1059">
        <f ca="1">IFERROR(SUMPRODUCT(DataShift!F1565:Z1565,DataShift!F773:Z773)/SQRT(SUMPRODUCT(DataShift!F1565:Z1565,DataShift!F1565:Z1565)*SUMPRODUCT(DataShift!F773:Z773,DataShift!F773:Z773)),0)</f>
        <v>0.2414488881668137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-52319.999999999993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-68401.600000000006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7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7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2">
        <f ca="1">TabCalc[[#This Row],[Y]]/TabCalc[[#This Row],[M]]</f>
        <v>1.0599022004889975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78" s="91">
        <f t="shared" ca="1" si="5"/>
        <v>5000</v>
      </c>
      <c r="AW78" s="99">
        <f ca="1">[1]!RTData[[#This Row],[V/VA]]</f>
        <v>0.67086524117354551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0.67086524117354551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188150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45912.666666666664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87</v>
      </c>
      <c r="CV78" s="359">
        <f ca="1">IFERROR(TabCalc[[#This Row],[NME]]*TabCalc[[#This Row],[M]],"")</f>
        <v>4981.62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1.4801995435354511</v>
      </c>
      <c r="CY78" s="333">
        <f ca="1">MEDIAN(DataShift!F773:Z773)</f>
        <v>4.5710000000000004E-3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184.37</v>
      </c>
      <c r="M79" s="799">
        <f ca="1">[1]!RTData[[#This Row],[Change%]]</f>
        <v>-1.8577999999999997E-2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-0.5691705639510013</v>
      </c>
      <c r="T79" s="1059">
        <f ca="1">IFERROR(SUMPRODUCT(DataShift!F1566:Z1566,DataShift!F774:Z774)/SQRT(SUMPRODUCT(DataShift!F1566:Z1566,DataShift!F1566:Z1566)*SUMPRODUCT(DataShift!F774:Z774,DataShift!F774:Z774)),0)</f>
        <v>-0.17030770319189456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3323.9999999999955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-7448.0000000000018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7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7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2">
        <f ca="1">TabCalc[[#This Row],[Y]]/TabCalc[[#This Row],[M]]</f>
        <v>1.1091826219016108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-0.21634544538309458</v>
      </c>
      <c r="AV79" s="91">
        <f t="shared" ca="1" si="5"/>
        <v>550</v>
      </c>
      <c r="AW79" s="99">
        <f ca="1">[1]!RTData[[#This Row],[V/VA]]</f>
        <v>0.82360535940415402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0.82360535940415402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-3074.5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45912.855574293753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902.52707581227571</v>
      </c>
      <c r="CR79" s="435">
        <f ca="1">IF(TabCalc[[#This Row],[ntoBuy]]*TabCalc[[#This Row],[M]]&lt;=0,0,TabCalc[[#This Row],[ntoBuy]]*TabCalc[[#This Row],[M]])</f>
        <v>166398.91696750929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27</v>
      </c>
      <c r="CV79" s="359">
        <f ca="1">IFERROR(TabCalc[[#This Row],[NME]]*TabCalc[[#This Row],[M]],"")</f>
        <v>4977.99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0.82640675227571592</v>
      </c>
      <c r="CY79" s="333">
        <f ca="1">MEDIAN(DataShift!F774:Z774)</f>
        <v>-8.9339999999999992E-3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779.79300000000001</v>
      </c>
      <c r="M80" s="799">
        <f ca="1">[1]!RTData[[#This Row],[Change%]]</f>
        <v>-6.2909999999999997E-3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0.21912148784969254</v>
      </c>
      <c r="T80" s="1059">
        <f ca="1">IFERROR(SUMPRODUCT(DataShift!F1567:Z1567,DataShift!F775:Z775)/SQRT(SUMPRODUCT(DataShift!F1567:Z1567,DataShift!F1567:Z1567)*SUMPRODUCT(DataShift!F775:Z775,DataShift!F775:Z775)),0)</f>
        <v>0.46377648939692856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-14789.300000000003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-28476.23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7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7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2">
        <f ca="1">TabCalc[[#This Row],[Y]]/TabCalc[[#This Row],[M]]</f>
        <v>0.91124054717085168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0.59839801613673915</v>
      </c>
      <c r="AV80" s="91">
        <f t="shared" ca="1" si="5"/>
        <v>310</v>
      </c>
      <c r="AW80" s="99">
        <f ca="1">[1]!RTData[[#This Row],[V/VA]]</f>
        <v>0.65387219449739531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0.65387219449739531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130538.83000000002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45912.853591874999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4678.7579999999998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0.40423691497168052</v>
      </c>
      <c r="CY80" s="333">
        <f ca="1">MEDIAN(DataShift!F775:Z775)</f>
        <v>-2.6359999999999999E-3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29173.84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1.88</v>
      </c>
      <c r="M81" s="799">
        <f ca="1">[1]!RTData[[#This Row],[Change%]]</f>
        <v>6.2146999999999994E-2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-0.4051246319408715</v>
      </c>
      <c r="T81" s="1059">
        <f ca="1">IFERROR(SUMPRODUCT(DataShift!F1568:Z1568,DataShift!F776:Z776)/SQRT(SUMPRODUCT(DataShift!F1568:Z1568,DataShift!F1568:Z1568)*SUMPRODUCT(DataShift!F776:Z776,DataShift!F776:Z776)),0)</f>
        <v>-0.40937552654048637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258,781 = $ 486,508</v>
      </c>
      <c r="W81" s="225">
        <f ca="1">MIN(TabCalc[[#This Row],[L_Bn]],TabCalc[[#This Row],[NAfter]])*(TabCalc[[#This Row],[M]]+TabCalc[[#This Row],[L_Bp]])*TabCalc[[#This Row],[Scale]]</f>
        <v>-43990.320000000007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-21269.079999999998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1319.0300000000025</v>
      </c>
      <c r="AN81" s="357">
        <f ca="1">_xlfn.LET(_xlpm.MVToday,DataShift!AV578,         _xlpm.MVY,DataShift!AU578,        _xlpm.MVYY, DataShift!AT578,                                IF(_xlpm.MVToday=_xlpm.MVY,_xlpm.MVY-_xlpm.MVYY,_xlpm.MVToday-_xlpm.MVY))</f>
        <v>1706.9799999999996</v>
      </c>
      <c r="AO81" s="357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1396.6200000000026</v>
      </c>
      <c r="AP81" s="1192">
        <f ca="1">TabCalc[[#This Row],[Y]]/TabCalc[[#This Row],[M]]</f>
        <v>1.595744680851064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-0.24910070921985825</v>
      </c>
      <c r="AV81" s="91">
        <f t="shared" ca="1" si="5"/>
        <v>0</v>
      </c>
      <c r="AW81" s="99">
        <f ca="1">[1]!RTData[[#This Row],[V/VA]]</f>
        <v>0.73131747771900657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0.73131747771900657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-241955.59999999998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-222845.4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-307214.99999999994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45912.856546481249</v>
      </c>
      <c r="BQ81" s="189">
        <f ca="1">(TabCalc[[#This Row],[ValueBegin]]+(TabCalc[[#This Row],[M]]-TabCalc[[#This Row],[A]])*TabCalc[[#This Row],[NAfter]])*TabCalc[[#This Row],[Scale]]</f>
        <v>-559234.24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-307215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-307215</v>
      </c>
      <c r="CX81" s="99">
        <f ca="1">IFERROR((TabCalc[[#This Row],[M]]+TabCalc[[#This Row],[L_Bp]])/ABS(TabCalc[[#This Row],[L_Bp]])/(TODAY()-TabCalc[[#This Row],[L_Bdate]])*360,"")</f>
        <v>-1.0940207394769814</v>
      </c>
      <c r="CY81" s="333">
        <f ca="1">MEDIAN(DataShift!F776:Z776)</f>
        <v>-1.7544000000000001E-2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37998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31.664999999999999</v>
      </c>
      <c r="M82" s="799">
        <f ca="1">[1]!RTData[[#This Row],[Change%]]</f>
        <v>-1.7340000000000001E-3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-0.64600964831957497</v>
      </c>
      <c r="T82" s="1059">
        <f ca="1">IFERROR(SUMPRODUCT(DataShift!F1569:Z1569,DataShift!F777:Z777)/SQRT(SUMPRODUCT(DataShift!F1569:Z1569,DataShift!F1569:Z1569)*SUMPRODUCT(DataShift!F777:Z777,DataShift!F777:Z777)),0)</f>
        <v>0.1180580199684856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1161.120000000001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-2610.000000000005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2377.8299999999972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-6250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-246</v>
      </c>
      <c r="AN82" s="357">
        <f ca="1">_xlfn.LET(_xlpm.MVToday,DataShift!AV579,         _xlpm.MVY,DataShift!AU579,        _xlpm.MVYY, DataShift!AT579,                                IF(_xlpm.MVToday=_xlpm.MVY,_xlpm.MVY-_xlpm.MVYY,_xlpm.MVToday-_xlpm.MVY))</f>
        <v>-162</v>
      </c>
      <c r="AO82" s="357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2">
        <f ca="1">TabCalc[[#This Row],[Y]]/TabCalc[[#This Row],[M]]</f>
        <v>1.0124743407547767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-6.0708328642048033E-5</v>
      </c>
      <c r="AV82" s="91">
        <f t="shared" ca="1" si="5"/>
        <v>900</v>
      </c>
      <c r="AW82" s="99">
        <f ca="1">[1]!RTData[[#This Row],[V/VA]]</f>
        <v>1.4239880871987247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1.4239880871987247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-27310.5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-55809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-19802.450000000004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78.63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45912.855863055469</v>
      </c>
      <c r="BQ82" s="189">
        <f ca="1">(TabCalc[[#This Row],[ValueBegin]]+(TabCalc[[#This Row],[M]]-TabCalc[[#This Row],[A]])*TabCalc[[#This Row],[NAfter]])*TabCalc[[#This Row],[Scale]]</f>
        <v>-92645.88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1161.120000000001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2523.3090675111371</v>
      </c>
      <c r="CR82" s="435">
        <f ca="1">IF(TabCalc[[#This Row],[ntoBuy]]*TabCalc[[#This Row],[M]]&lt;=0,0,TabCalc[[#This Row],[ntoBuy]]*TabCalc[[#This Row],[M]])</f>
        <v>79900.581622740152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37998</v>
      </c>
      <c r="CU82" s="428">
        <f ca="1">IF(TabCalc[[#This Row],[M]]-TabCalc[[#This Row],[A]]&lt;=0,"",INT(DesiredSaleGain/(TabCalc[[#This Row],[M]]-IF(TabCalc[[#This Row],[E]]&gt;0,0,TabCalc[[#This Row],[A]]))))</f>
        <v>5167</v>
      </c>
      <c r="CV82" s="359">
        <f ca="1">IFERROR(TabCalc[[#This Row],[NME]]*TabCalc[[#This Row],[M]],"")</f>
        <v>163613.05499999999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1161.120000000001</v>
      </c>
      <c r="CX82" s="99">
        <f ca="1">IFERROR((TabCalc[[#This Row],[M]]+TabCalc[[#This Row],[L_Bp]])/ABS(TabCalc[[#This Row],[L_Bp]])/(TODAY()-TabCalc[[#This Row],[L_Bdate]])*360,"")</f>
        <v>5.065808272268759E-2</v>
      </c>
      <c r="CY82" s="333">
        <f ca="1">MEDIAN(DataShift!F777:Z777)</f>
        <v>-1.7340000000000001E-3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116176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580.88</v>
      </c>
      <c r="M83" s="799">
        <f ca="1">[1]!RTData[[#This Row],[Change%]]</f>
        <v>-1.3333999999999999E-2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0.63678367800302793</v>
      </c>
      <c r="T83" s="1059">
        <f ca="1">IFERROR(SUMPRODUCT(DataShift!F1570:Z1570,DataShift!F778:Z778)/SQRT(SUMPRODUCT(DataShift!F1570:Z1570,DataShift!F1570:Z1570)*SUMPRODUCT(DataShift!F778:Z778,DataShift!F778:Z778)),0)</f>
        <v>-2.7967746716274139E-2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6814.00000000001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51572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-3421.0000000000036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-308075.78999999998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-1112.0000000000146</v>
      </c>
      <c r="AN83" s="357">
        <f ca="1">_xlfn.LET(_xlpm.MVToday,DataShift!AV580,         _xlpm.MVY,DataShift!AU580,        _xlpm.MVYY, DataShift!AT580,                                IF(_xlpm.MVToday=_xlpm.MVY,_xlpm.MVY-_xlpm.MVYY,_xlpm.MVToday-_xlpm.MVY))</f>
        <v>-1744</v>
      </c>
      <c r="AO83" s="357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2">
        <f ca="1">TabCalc[[#This Row],[Y]]/TabCalc[[#This Row],[M]]</f>
        <v>1.1096121402010743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-0.68943161793138708</v>
      </c>
      <c r="AV83" s="91">
        <f t="shared" ca="1" si="5"/>
        <v>130</v>
      </c>
      <c r="AW83" s="99">
        <f ca="1">[1]!RTData[[#This Row],[V/VA]]</f>
        <v>0.93986094147726729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0.93986094147726729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75160.799999999988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-353.60000000000582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50846.758999999998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45912.85604173594</v>
      </c>
      <c r="BQ83" s="189">
        <f ca="1">(TabCalc[[#This Row],[ValueBegin]]+(TabCalc[[#This Row],[M]]-TabCalc[[#This Row],[A]])*TabCalc[[#This Row],[NAfter]])*TabCalc[[#This Row],[Scale]]</f>
        <v>-109715.59999999999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6814.00000000001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146.7566774288228</v>
      </c>
      <c r="CT83" s="436">
        <f ca="1">TabCalc[[#This Row],[ntoSell]]*TabCalc[[#This Row],[M]]</f>
        <v>85248.01878485459</v>
      </c>
      <c r="CU83" s="428">
        <f ca="1">IF(TabCalc[[#This Row],[M]]-TabCalc[[#This Row],[A]]&lt;=0,"",INT(DesiredSaleGain/(TabCalc[[#This Row],[M]]-IF(TabCalc[[#This Row],[E]]&gt;0,0,TabCalc[[#This Row],[A]]))))</f>
        <v>146</v>
      </c>
      <c r="CV83" s="359">
        <f ca="1">IFERROR(TabCalc[[#This Row],[NME]]*TabCalc[[#This Row],[M]],"")</f>
        <v>84808.48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6814.00000000001</v>
      </c>
      <c r="CX83" s="99">
        <f ca="1">IFERROR((TabCalc[[#This Row],[M]]+TabCalc[[#This Row],[L_Bp]])/ABS(TabCalc[[#This Row],[L_Bp]])/(TODAY()-TabCalc[[#This Row],[L_Bdate]])*360,"")</f>
        <v>0.26081930588534047</v>
      </c>
      <c r="CY83" s="333">
        <f ca="1">MEDIAN(DataShift!F778:Z778)</f>
        <v>-5.9259999999999998E-4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87780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7.98</v>
      </c>
      <c r="M84" s="799">
        <f ca="1">[1]!RTData[[#This Row],[Change%]]</f>
        <v>-3.6232E-2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0.40157113385437687</v>
      </c>
      <c r="T84" s="1059">
        <f ca="1">IFERROR(SUMPRODUCT(DataShift!F1571:Z1571,DataShift!F779:Z779)/SQRT(SUMPRODUCT(DataShift!F1571:Z1571,DataShift!F1571:Z1571)*SUMPRODUCT(DataShift!F779:Z779,DataShift!F779:Z779)),0)</f>
        <v>-7.7639629514902997E-2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-7964.9999999999982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-7959.5999999999949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26884.999999999993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18818.999999999996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-2530.0000000000146</v>
      </c>
      <c r="AN84" s="357">
        <f ca="1">_xlfn.LET(_xlpm.MVToday,DataShift!AV581,         _xlpm.MVY,DataShift!AU581,        _xlpm.MVYY, DataShift!AT581,                                IF(_xlpm.MVToday=_xlpm.MVY,_xlpm.MVY-_xlpm.MVYY,_xlpm.MVToday-_xlpm.MVY))</f>
        <v>-3245</v>
      </c>
      <c r="AO84" s="357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2">
        <f ca="1">TabCalc[[#This Row],[Y]]/TabCalc[[#This Row],[M]]</f>
        <v>1.5664160401002505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-0.92576850125313248</v>
      </c>
      <c r="AV84" s="91">
        <f t="shared" ca="1" si="5"/>
        <v>0</v>
      </c>
      <c r="AW84" s="99">
        <f ca="1">[1]!RTData[[#This Row],[V/VA]]</f>
        <v>0.93153205533487649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0.93153205533487649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-138564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-72330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-90303.9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22.03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45912.856271735938</v>
      </c>
      <c r="BQ84" s="189">
        <f ca="1">(TabCalc[[#This Row],[ValueBegin]]+(TabCalc[[#This Row],[M]]-TabCalc[[#This Row],[A]])*TabCalc[[#This Row],[NAfter]])*TabCalc[[#This Row],[Scale]]</f>
        <v>-170754.4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-10644.399999999985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929.8865538404317</v>
      </c>
      <c r="CR84" s="435">
        <f ca="1">IF(TabCalc[[#This Row],[ntoBuy]]*TabCalc[[#This Row],[M]]&lt;=0,0,TabCalc[[#This Row],[ntoBuy]]*TabCalc[[#This Row],[M]])</f>
        <v>7420.4946996466451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-10644.399999999985</v>
      </c>
      <c r="CX84" s="99">
        <f ca="1">IFERROR((TabCalc[[#This Row],[M]]+TabCalc[[#This Row],[L_Bp]])/ABS(TabCalc[[#This Row],[L_Bp]])/(TODAY()-TabCalc[[#This Row],[L_Bdate]])*360,"")</f>
        <v>-0.29978828510938593</v>
      </c>
      <c r="CY84" s="333">
        <f ca="1">MEDIAN(DataShift!F779:Z779)</f>
        <v>-2.66E-3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124.125</v>
      </c>
      <c r="M85" s="799">
        <f ca="1">[1]!RTData[[#This Row],[Change%]]</f>
        <v>-2.7995000000000003E-2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0.66435314194215334</v>
      </c>
      <c r="T85" s="1059">
        <f ca="1">IFERROR(SUMPRODUCT(DataShift!F1572:Z1572,DataShift!F780:Z780)/SQRT(SUMPRODUCT(DataShift!F1572:Z1572,DataShift!F1572:Z1572)*SUMPRODUCT(DataShift!F780:Z780,DataShift!F780:Z780)),0)</f>
        <v>-0.45176041501978192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-8445.8000000000029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-24724.999999999993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7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7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2">
        <f ca="1">TabCalc[[#This Row],[Y]]/TabCalc[[#This Row],[M]]</f>
        <v>0.95504531722054387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1.1807558183763622E-2</v>
      </c>
      <c r="AV85" s="91">
        <f t="shared" ca="1" si="5"/>
        <v>200</v>
      </c>
      <c r="AW85" s="99">
        <f ca="1">[1]!RTData[[#This Row],[V/VA]]</f>
        <v>1.6076160084589681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1.6076160084589681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7655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45912.850967291408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40</v>
      </c>
      <c r="CV85" s="359">
        <f ca="1">IFERROR(TabCalc[[#This Row],[NME]]*TabCalc[[#This Row],[M]],"")</f>
        <v>4965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0.38474678836935733</v>
      </c>
      <c r="CY85" s="333">
        <f ca="1">MEDIAN(DataShift!F780:Z780)</f>
        <v>1.482E-3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13.9</v>
      </c>
      <c r="M86" s="799">
        <f ca="1">[1]!RTData[[#This Row],[Change%]]</f>
        <v>7.1989999999999999E-4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0.68361113485213187</v>
      </c>
      <c r="T86" s="1059">
        <f ca="1">IFERROR(SUMPRODUCT(DataShift!F1573:Z1573,DataShift!F781:Z781)/SQRT(SUMPRODUCT(DataShift!F1573:Z1573,DataShift!F1573:Z1573)*SUMPRODUCT(DataShift!F781:Z781,DataShift!F781:Z781)),0)</f>
        <v>7.84030712066736E-2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-3740.0000000000018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-4109.9999999999991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7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7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2">
        <f ca="1">TabCalc[[#This Row],[Y]]/TabCalc[[#This Row],[M]]</f>
        <v>1.0733812949640287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86" s="91">
        <f t="shared" ca="1" si="5"/>
        <v>7700</v>
      </c>
      <c r="AW86" s="99">
        <f ca="1">[1]!RTData[[#This Row],[V/VA]]</f>
        <v>0.48995123707291532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0.48995123707291532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10472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45912.666666666664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4990.1000000000004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0.41549710059668887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182640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45.66</v>
      </c>
      <c r="M87" s="799">
        <f ca="1">[1]!RTData[[#This Row],[Change%]]</f>
        <v>-7.8230000000000001E-3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0.67708144917456825</v>
      </c>
      <c r="T87" s="1059">
        <f ca="1">IFERROR(SUMPRODUCT(DataShift!F1574:Z1574,DataShift!F782:Z782)/SQRT(SUMPRODUCT(DataShift!F1574:Z1574,DataShift!F1574:Z1574)*SUMPRODUCT(DataShift!F782:Z782,DataShift!F782:Z782)),0)</f>
        <v>-3.4888669989376467E-2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2,950 = $ 134,697</v>
      </c>
      <c r="W87" s="225">
        <f ca="1">MIN(TabCalc[[#This Row],[L_Bn]],TabCalc[[#This Row],[NAfter]])*(TabCalc[[#This Row],[M]]+TabCalc[[#This Row],[L_Bp]])*TabCalc[[#This Row],[Scale]]</f>
        <v>-1580.0000000000055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-2187.0000000000064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6200.0000000000027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34480.400000000001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87" s="357">
        <f ca="1">_xlfn.LET(_xlpm.MVToday,DataShift!AV584,         _xlpm.MVY,DataShift!AU584,        _xlpm.MVYY, DataShift!AT584,                                IF(_xlpm.MVToday=_xlpm.MVY,_xlpm.MVY-_xlpm.MVYY,_xlpm.MVToday-_xlpm.MVY))</f>
        <v>-1560</v>
      </c>
      <c r="AO87" s="357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2">
        <f ca="1">TabCalc[[#This Row],[Y]]/TabCalc[[#This Row],[M]]</f>
        <v>1.1093335523434078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-5.3794036752157638E-2</v>
      </c>
      <c r="AV87" s="91">
        <f t="shared" ca="1" si="5"/>
        <v>0</v>
      </c>
      <c r="AW87" s="99">
        <f ca="1">[1]!RTData[[#This Row],[V/VA]]</f>
        <v>0.61463911996041853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0.61463911996041853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-28391.000000000007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104023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-51678.826000000001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93.4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45912.85660352969</v>
      </c>
      <c r="BQ87" s="189">
        <f ca="1">(TabCalc[[#This Row],[ValueBegin]]+(TabCalc[[#This Row],[M]]-TabCalc[[#This Row],[A]])*TabCalc[[#This Row],[NAfter]])*TabCalc[[#This Row],[Scale]]</f>
        <v>-113314.9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-34697.9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806.4516129032254</v>
      </c>
      <c r="CR87" s="435">
        <f ca="1">IF(TabCalc[[#This Row],[ntoBuy]]*TabCalc[[#This Row],[M]]&lt;=0,0,TabCalc[[#This Row],[ntoBuy]]*TabCalc[[#This Row],[M]])</f>
        <v>36822.580645161266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-34697.9</v>
      </c>
      <c r="CX87" s="99">
        <f ca="1">IFERROR((TabCalc[[#This Row],[M]]+TabCalc[[#This Row],[L_Bp]])/ABS(TabCalc[[#This Row],[L_Bp]])/(TODAY()-TabCalc[[#This Row],[L_Bdate]])*360,"")</f>
        <v>-6.7266164929824873E-2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38208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23.88</v>
      </c>
      <c r="M88" s="799">
        <f ca="1">[1]!RTData[[#This Row],[Change%]]</f>
        <v>-3.9420999999999998E-2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0.81578436852312353</v>
      </c>
      <c r="T88" s="1059">
        <f ca="1">IFERROR(SUMPRODUCT(DataShift!F1575:Z1575,DataShift!F783:Z783)/SQRT(SUMPRODUCT(DataShift!F1575:Z1575,DataShift!F1575:Z1575)*SUMPRODUCT(DataShift!F783:Z783,DataShift!F783:Z783)),0)</f>
        <v>-0.46382222428541747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-1696.0000000000036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-6472.0000000000027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12104.622000000003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8646.5500000000047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-1488</v>
      </c>
      <c r="AN88" s="357">
        <f ca="1">_xlfn.LET(_xlpm.MVToday,DataShift!AV585,         _xlpm.MVY,DataShift!AU585,        _xlpm.MVYY, DataShift!AT585,                                IF(_xlpm.MVToday=_xlpm.MVY,_xlpm.MVY-_xlpm.MVYY,_xlpm.MVToday-_xlpm.MVY))</f>
        <v>-1536</v>
      </c>
      <c r="AO88" s="357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2">
        <f ca="1">TabCalc[[#This Row],[Y]]/TabCalc[[#This Row],[M]]</f>
        <v>1.2084229480737019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-0.17891714610296583</v>
      </c>
      <c r="AV88" s="91">
        <f t="shared" ca="1" si="5"/>
        <v>0</v>
      </c>
      <c r="AW88" s="99">
        <f ca="1">[1]!RTData[[#This Row],[V/VA]]</f>
        <v>2.1864489741497417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2.1864489741497417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-22932.000000000007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-15768.000000000007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-9745.0780000000013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46.07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45912.856603830471</v>
      </c>
      <c r="BQ88" s="189">
        <f ca="1">(TabCalc[[#This Row],[ValueBegin]]+(TabCalc[[#This Row],[M]]-TabCalc[[#This Row],[A]])*TabCalc[[#This Row],[NAfter]])*TabCalc[[#This Row],[Scale]]</f>
        <v>-55672.000000000015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-1696.0000000000036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830.26136627810411</v>
      </c>
      <c r="CR88" s="435">
        <f ca="1">IF(TabCalc[[#This Row],[ntoBuy]]*TabCalc[[#This Row],[M]]&lt;=0,0,TabCalc[[#This Row],[ntoBuy]]*TabCalc[[#This Row],[M]])</f>
        <v>19826.641426721126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-1696.0000000000036</v>
      </c>
      <c r="CX88" s="99">
        <f ca="1">IFERROR((TabCalc[[#This Row],[M]]+TabCalc[[#This Row],[L_Bp]])/ABS(TabCalc[[#This Row],[L_Bp]])/(TODAY()-TabCalc[[#This Row],[L_Bdate]])*360,"")</f>
        <v>-5.1866853329346471E-2</v>
      </c>
      <c r="CY88" s="333">
        <f ca="1">MEDIAN(DataShift!F783:Z783)</f>
        <v>-2.9909999999999997E-3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115675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3.3050000000000002</v>
      </c>
      <c r="M89" s="799">
        <f ca="1">[1]!RTData[[#This Row],[Change%]]</f>
        <v>1.3804E-2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-0.11198208429965348</v>
      </c>
      <c r="T89" s="1059">
        <f ca="1">IFERROR(SUMPRODUCT(DataShift!F1576:Z1576,DataShift!F784:Z784)/SQRT(SUMPRODUCT(DataShift!F1576:Z1576,DataShift!F1576:Z1576)*SUMPRODUCT(DataShift!F784:Z784,DataShift!F784:Z784)),0)</f>
        <v>-0.42900504773673098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6625.0000000000027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-1185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7584.9000000000005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18235.199999999997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875</v>
      </c>
      <c r="AN89" s="357">
        <f ca="1">_xlfn.LET(_xlpm.MVToday,DataShift!AV586,         _xlpm.MVY,DataShift!AU586,        _xlpm.MVYY, DataShift!AT586,                                IF(_xlpm.MVToday=_xlpm.MVY,_xlpm.MVY-_xlpm.MVYY,_xlpm.MVToday-_xlpm.MVY))</f>
        <v>1767.5</v>
      </c>
      <c r="AO89" s="357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2">
        <f ca="1">TabCalc[[#This Row],[Y]]/TabCalc[[#This Row],[M]]</f>
        <v>1.1770045385779122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-1.5572076661908999E-2</v>
      </c>
      <c r="AV89" s="91">
        <f t="shared" ca="1" si="5"/>
        <v>0</v>
      </c>
      <c r="AW89" s="99">
        <f ca="1">[1]!RTData[[#This Row],[V/VA]]</f>
        <v>1.193715129297465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1.193715129297465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3045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95585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-2209.8999999999942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4.47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45912.855192950781</v>
      </c>
      <c r="BQ89" s="189">
        <f ca="1">(TabCalc[[#This Row],[ValueBegin]]+(TabCalc[[#This Row],[M]]-TabCalc[[#This Row],[A]])*TabCalc[[#This Row],[NAfter]])*TabCalc[[#This Row],[Scale]]</f>
        <v>-28719.999999999996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-8629.9999999999964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1977.6134161294149</v>
      </c>
      <c r="CR89" s="435">
        <f ca="1">IF(TabCalc[[#This Row],[ntoBuy]]*TabCalc[[#This Row],[M]]&lt;=0,0,TabCalc[[#This Row],[ntoBuy]]*TabCalc[[#This Row],[M]])</f>
        <v>6536.0123403077168</v>
      </c>
      <c r="CS89" s="435">
        <f ca="1">IF(TabCalc[[#This Row],[M]]&gt;ABS(TabCalc[[#This Row],[L_Bp]]),MIN(TabCalc[[#This Row],[NAfter]],DesiredSaleGain/(TabCalc[[#This Row],[M]]+TabCalc[[#This Row],[L_Bp]])),0)/TabCalc[[#This Row],[Scale]]</f>
        <v>18867.924528301879</v>
      </c>
      <c r="CT89" s="436">
        <f ca="1">TabCalc[[#This Row],[ntoSell]]*TabCalc[[#This Row],[M]]</f>
        <v>62358.490566037712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-8629.9999999999964</v>
      </c>
      <c r="CX89" s="99">
        <f ca="1">IFERROR((TabCalc[[#This Row],[M]]+TabCalc[[#This Row],[L_Bp]])/ABS(TabCalc[[#This Row],[L_Bp]])/(TODAY()-TabCalc[[#This Row],[L_Bdate]])*360,"")</f>
        <v>0.68220823798627028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35.299999999999997</v>
      </c>
      <c r="M90" s="799">
        <f ca="1">[1]!RTData[[#This Row],[Change%]]</f>
        <v>5.9850000000000007E-3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0.10280991089651756</v>
      </c>
      <c r="T90" s="1059">
        <f ca="1">IFERROR(SUMPRODUCT(DataShift!F1577:Z1577,DataShift!F785:Z785)/SQRT(SUMPRODUCT(DataShift!F1577:Z1577,DataShift!F1577:Z1577)*SUMPRODUCT(DataShift!F785:Z785,DataShift!F785:Z785)),0)</f>
        <v>0.32957054407001196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2795.0000000000232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-2664.9999999999964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7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7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2">
        <f ca="1">TabCalc[[#This Row],[Y]]/TabCalc[[#This Row],[M]]</f>
        <v>1.2240793201133147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-0.32446695924049734</v>
      </c>
      <c r="AV90" s="91">
        <f t="shared" ca="1" si="5"/>
        <v>2700</v>
      </c>
      <c r="AW90" s="99">
        <f ca="1">[1]!RTData[[#This Row],[V/VA]]</f>
        <v>1.3919199362700079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1.3919199362700079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13472.999999999985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45912.840323263285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8944.5438282646846</v>
      </c>
      <c r="CR90" s="435">
        <f ca="1">IF(TabCalc[[#This Row],[ntoBuy]]*TabCalc[[#This Row],[M]]&lt;=0,0,TabCalc[[#This Row],[ntoBuy]]*TabCalc[[#This Row],[M]])</f>
        <v>315742.39713774336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141</v>
      </c>
      <c r="CV90" s="359">
        <f ca="1">IFERROR(TabCalc[[#This Row],[NME]]*TabCalc[[#This Row],[M]],"")</f>
        <v>4977.2999999999993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-5.6920307237741635E-2</v>
      </c>
      <c r="CY90" s="333">
        <f ca="1">MEDIAN(DataShift!F785:Z785)</f>
        <v>3.0309999999999998E-3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72.86</v>
      </c>
      <c r="M91" s="799">
        <f ca="1">[1]!RTData[[#This Row],[Change%]]</f>
        <v>-1.8456E-2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-0.70205776598653569</v>
      </c>
      <c r="T91" s="1059">
        <f ca="1">IFERROR(SUMPRODUCT(DataShift!F1578:Z1578,DataShift!F786:Z786)/SQRT(SUMPRODUCT(DataShift!F1578:Z1578,DataShift!F1578:Z1578)*SUMPRODUCT(DataShift!F786:Z786,DataShift!F786:Z786)),0)</f>
        <v>0.23961051856619223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-23200.000000000004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-7560.0000000000091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7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7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2">
        <f ca="1">TabCalc[[#This Row],[Y]]/TabCalc[[#This Row],[M]]</f>
        <v>1.1723853966511117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-0.31836123752213569</v>
      </c>
      <c r="AV91" s="91">
        <f t="shared" ca="1" si="5"/>
        <v>450</v>
      </c>
      <c r="AW91" s="99">
        <f ca="1">[1]!RTData[[#This Row],[V/VA]]</f>
        <v>0.63299572247995461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0.63299572247995461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-85513.5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45912.856617534373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68</v>
      </c>
      <c r="CV91" s="359">
        <f ca="1">IFERROR(TabCalc[[#This Row],[NME]]*TabCalc[[#This Row],[M]],"")</f>
        <v>4954.4799999999996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0.18616707714599104</v>
      </c>
      <c r="CY91" s="333">
        <f ca="1">MEDIAN(DataShift!F786:Z786)</f>
        <v>-4.0889999999999998E-3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423874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192.67</v>
      </c>
      <c r="M92" s="799">
        <f ca="1">[1]!RTData[[#This Row],[Change%]]</f>
        <v>-3.6720000000000004E-3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0.36871841026017432</v>
      </c>
      <c r="T92" s="1059">
        <f ca="1">IFERROR(SUMPRODUCT(DataShift!F1579:Z1579,DataShift!F787:Z787)/SQRT(SUMPRODUCT(DataShift!F1579:Z1579,DataShift!F1579:Z1579)*SUMPRODUCT(DataShift!F787:Z787,DataShift!F787:Z787)),0)</f>
        <v>4.5693773114163665E-2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40489.999999999978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7831.4999999999973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402.50000000000341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-8242.4999999999945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1430</v>
      </c>
      <c r="AN92" s="357">
        <f ca="1">_xlfn.LET(_xlpm.MVToday,DataShift!AV589,         _xlpm.MVY,DataShift!AU589,        _xlpm.MVYY, DataShift!AT589,                                IF(_xlpm.MVToday=_xlpm.MVY,_xlpm.MVY-_xlpm.MVYY,_xlpm.MVToday-_xlpm.MVY))</f>
        <v>-1408</v>
      </c>
      <c r="AO92" s="357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2">
        <f ca="1">TabCalc[[#This Row],[Y]]/TabCalc[[#This Row],[M]]</f>
        <v>1.0251922977111123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-3.004776005625911E-3</v>
      </c>
      <c r="AV92" s="91">
        <f t="shared" ca="1" si="5"/>
        <v>0</v>
      </c>
      <c r="AW92" s="99">
        <f ca="1">[1]!RTData[[#This Row],[V/VA]]</f>
        <v>0.81019221150410858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0.81019221150410858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293200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331734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272871.848</v>
      </c>
      <c r="BJ92" s="173">
        <f ca="1">IF(        OR(      TabCalc[[#This Row],[GL]]&gt;ABS(TabCalc[[#This Row],[EfCost]])),             TabCalc[[#This Row],[GL]],     0)</f>
        <v>272871.848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114.07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45912.854751700783</v>
      </c>
      <c r="BQ92" s="189">
        <f ca="1">(TabCalc[[#This Row],[ValueBegin]]+(TabCalc[[#This Row],[M]]-TabCalc[[#This Row],[A]])*TabCalc[[#This Row],[NAfter]])*TabCalc[[#This Row],[Scale]]</f>
        <v>13231.64999999998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105371.64999999998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3105.5900621117748</v>
      </c>
      <c r="CR92" s="435">
        <f ca="1">IF(TabCalc[[#This Row],[ntoBuy]]*TabCalc[[#This Row],[M]]&lt;=0,0,TabCalc[[#This Row],[ntoBuy]]*TabCalc[[#This Row],[M]])</f>
        <v>598354.03726707562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123.48728081007663</v>
      </c>
      <c r="CT92" s="436">
        <f ca="1">TabCalc[[#This Row],[ntoSell]]*TabCalc[[#This Row],[M]]</f>
        <v>23792.294393677461</v>
      </c>
      <c r="CU92" s="428">
        <f ca="1">IF(TabCalc[[#This Row],[M]]-TabCalc[[#This Row],[A]]&lt;=0,"",INT(DesiredSaleGain/(TabCalc[[#This Row],[M]]-IF(TabCalc[[#This Row],[E]]&gt;0,0,TabCalc[[#This Row],[A]]))))</f>
        <v>104</v>
      </c>
      <c r="CV92" s="359">
        <f ca="1">IFERROR(TabCalc[[#This Row],[NME]]*TabCalc[[#This Row],[M]],"")</f>
        <v>20037.68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105371.64999999998</v>
      </c>
      <c r="CX92" s="99">
        <f ca="1">IFERROR((TabCalc[[#This Row],[M]]+TabCalc[[#This Row],[L_Bp]])/ABS(TabCalc[[#This Row],[L_Bp]])/(TODAY()-TabCalc[[#This Row],[L_Bdate]])*360,"")</f>
        <v>1.9547742871626235</v>
      </c>
      <c r="CY92" s="333">
        <f ca="1">MEDIAN(DataShift!F787:Z787)</f>
        <v>3.0230000000000001E-3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-0.5757174110458575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7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7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2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1.1021109961556979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263925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15.525</v>
      </c>
      <c r="M94" s="799">
        <f ca="1">[1]!RTData[[#This Row],[Change%]]</f>
        <v>1.5038000000000001E-2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-0.46059620009702373</v>
      </c>
      <c r="T94" s="1059">
        <f ca="1">IFERROR(SUMPRODUCT(DataShift!F1581:Z1581,DataShift!F789:Z789)/SQRT(SUMPRODUCT(DataShift!F1581:Z1581,DataShift!F1581:Z1581)*SUMPRODUCT(DataShift!F789:Z789,DataShift!F789:Z789)),0)</f>
        <v>-0.38681038851393468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3525.0000000000005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1589.9999999999998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2716.4000000000055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67.539000000000016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2975</v>
      </c>
      <c r="AN94" s="357">
        <f ca="1">_xlfn.LET(_xlpm.MVToday,DataShift!AV591,         _xlpm.MVY,DataShift!AU591,        _xlpm.MVYY, DataShift!AT591,                                IF(_xlpm.MVToday=_xlpm.MVY,_xlpm.MVY-_xlpm.MVYY,_xlpm.MVToday-_xlpm.MVY))</f>
        <v>3910</v>
      </c>
      <c r="AO94" s="357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-595</v>
      </c>
      <c r="AP94" s="1192">
        <f ca="1">TabCalc[[#This Row],[Y]]/TabCalc[[#This Row],[M]]</f>
        <v>1.0879227053140097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94" s="91">
        <f t="shared" ca="1" si="5"/>
        <v>33000</v>
      </c>
      <c r="AW94" s="99">
        <f ca="1">[1]!RTData[[#This Row],[V/VA]]</f>
        <v>1.2674223751841054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1.2674223751841054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325250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-187075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261008.09900000002</v>
      </c>
      <c r="BJ94" s="173">
        <f ca="1">IF(        OR(      TabCalc[[#This Row],[GL]]&gt;ABS(TabCalc[[#This Row],[EfCost]])),             TabCalc[[#This Row],[GL]],     0)</f>
        <v>261008.09900000002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45912.770833333336</v>
      </c>
      <c r="BQ94" s="189">
        <f ca="1">(TabCalc[[#This Row],[ValueBegin]]+(TabCalc[[#This Row],[M]]-TabCalc[[#This Row],[A]])*TabCalc[[#This Row],[NAfter]])*TabCalc[[#This Row],[Scale]]</f>
        <v>-411585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39415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9203.3573847739463</v>
      </c>
      <c r="CR94" s="435">
        <f ca="1">IF(TabCalc[[#This Row],[ntoBuy]]*TabCalc[[#This Row],[M]]&lt;=0,0,TabCalc[[#This Row],[ntoBuy]]*TabCalc[[#This Row],[M]])</f>
        <v>142882.12339861551</v>
      </c>
      <c r="CS94" s="435">
        <f ca="1">IF(TabCalc[[#This Row],[M]]&gt;ABS(TabCalc[[#This Row],[L_Bp]]),MIN(TabCalc[[#This Row],[NAfter]],DesiredSaleGain/(TabCalc[[#This Row],[M]]+TabCalc[[#This Row],[L_Bp]])),0)/TabCalc[[#This Row],[Scale]]</f>
        <v>7092.1985815602829</v>
      </c>
      <c r="CT94" s="436">
        <f ca="1">TabCalc[[#This Row],[ntoSell]]*TabCalc[[#This Row],[M]]</f>
        <v>110106.3829787234</v>
      </c>
      <c r="CU94" s="429">
        <f ca="1">IF(TabCalc[[#This Row],[M]]-TabCalc[[#This Row],[A]]&lt;=0,"",INT(DesiredSaleGain/(TabCalc[[#This Row],[M]]-IF(TabCalc[[#This Row],[E]]&gt;0,0,TabCalc[[#This Row],[A]]))))</f>
        <v>2156</v>
      </c>
      <c r="CV94" s="359">
        <f ca="1">IFERROR(TabCalc[[#This Row],[NME]]*TabCalc[[#This Row],[M]],"")</f>
        <v>33471.9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39415</v>
      </c>
      <c r="CX94" s="99">
        <f ca="1">IFERROR((TabCalc[[#This Row],[M]]+TabCalc[[#This Row],[L_Bp]])/ABS(TabCalc[[#This Row],[L_Bp]])/(TODAY()-TabCalc[[#This Row],[L_Bdate]])*360,"")</f>
        <v>1.7125506072874495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794207.1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10.301</v>
      </c>
      <c r="M95" s="799">
        <f ca="1">[1]!RTData[[#This Row],[Change%]]</f>
        <v>-9.3289999999999988E-3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-8.7022551432035203E-2</v>
      </c>
      <c r="T95" s="1059">
        <f ca="1">IFERROR(SUMPRODUCT(DataShift!F1582:Z1582,DataShift!F790:Z790)/SQRT(SUMPRODUCT(DataShift!F1582:Z1582,DataShift!F1582:Z1582)*SUMPRODUCT(DataShift!F790:Z790,DataShift!F790:Z790)),0)</f>
        <v>-0.17269115034340593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-39,969 = $ -411,721</v>
      </c>
      <c r="W95" s="225">
        <f ca="1">MIN(TabCalc[[#This Row],[L_Bn]],TabCalc[[#This Row],[NAfter]])*(TabCalc[[#This Row],[M]]+TabCalc[[#This Row],[L_Bp]])*TabCalc[[#This Row],[Scale]]</f>
        <v>382493.10000000003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-5782.5</v>
      </c>
      <c r="AN95" s="357">
        <f ca="1">_xlfn.LET(_xlpm.MVToday,DataShift!AV592,         _xlpm.MVY,DataShift!AU592,        _xlpm.MVYY, DataShift!AT592,                                IF(_xlpm.MVToday=_xlpm.MVY,_xlpm.MVY-_xlpm.MVYY,_xlpm.MVToday-_xlpm.MVY))</f>
        <v>-7478.6999999999534</v>
      </c>
      <c r="AO95" s="357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8326.8000000000466</v>
      </c>
      <c r="AP95" s="1192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382493.1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382493.1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382493.1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45912.731348622656</v>
      </c>
      <c r="BQ95" s="189">
        <f ca="1">(TabCalc[[#This Row],[ValueBegin]]+(TabCalc[[#This Row],[M]]-TabCalc[[#This Row],[A]])*TabCalc[[#This Row],[NAfter]])*TabCalc[[#This Row],[Scale]]</f>
        <v>-29220.899999999965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382493.10000000003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1007.8613182826042</v>
      </c>
      <c r="CT95" s="438">
        <f ca="1">TabCalc[[#This Row],[ntoSell]]*TabCalc[[#This Row],[M]]</f>
        <v>10381.979439629105</v>
      </c>
      <c r="CU95" s="430">
        <f ca="1">IF(TabCalc[[#This Row],[M]]-TabCalc[[#This Row],[A]]&lt;=0,"",INT(DesiredSaleGain/(TabCalc[[#This Row],[M]]-IF(TabCalc[[#This Row],[E]]&gt;0,0,TabCalc[[#This Row],[A]]))))</f>
        <v>1007</v>
      </c>
      <c r="CV95" s="362">
        <f ca="1">IFERROR(TabCalc[[#This Row],[NME]]*TabCalc[[#This Row],[M]],"")</f>
        <v>10373.107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382493.10000000003</v>
      </c>
      <c r="CX95" s="99">
        <f ca="1">IFERROR((TabCalc[[#This Row],[M]]+TabCalc[[#This Row],[L_Bp]])/ABS(TabCalc[[#This Row],[L_Bp]])/(TODAY()-TabCalc[[#This Row],[L_Bdate]])*360,"")</f>
        <v>0.27732125887416847</v>
      </c>
      <c r="CY95" s="333">
        <f ca="1">MEDIAN(DataShift!F790:Z790)</f>
        <v>2.8570000000000002E-3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31956383.674999997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-3.0529268219335621E-2</v>
      </c>
      <c r="T96" s="800">
        <f ca="1">SUBTOTAL(101,TabCalc[DPWC20])</f>
        <v>-3.7372661651294478E-2</v>
      </c>
      <c r="U96" s="12">
        <f ca="1">COUNTIF(TabCalc[Type],"Pile")</f>
        <v>44</v>
      </c>
      <c r="V96" s="230"/>
      <c r="W96" s="394">
        <f ca="1">SUBTOTAL(109,TabCalc[Rev(MinStock)])</f>
        <v>454046.22564099997</v>
      </c>
      <c r="X96" s="395"/>
      <c r="Y96" s="395"/>
      <c r="Z96" s="395"/>
      <c r="AA96" s="394">
        <f ca="1">SUBTOTAL(109,TabCalc[ReverseS1])</f>
        <v>91106.590500000035</v>
      </c>
      <c r="AB96" s="395"/>
      <c r="AC96" s="395"/>
      <c r="AD96" s="396"/>
      <c r="AE96" s="397">
        <f ca="1">SUBTOTAL(109,TabCalc[ReverseB])</f>
        <v>132022.2114</v>
      </c>
      <c r="AF96" s="398"/>
      <c r="AG96" s="395"/>
      <c r="AH96" s="396"/>
      <c r="AI96" s="397">
        <f ca="1">SUBTOTAL(109,TabCalc[ReverseB1])</f>
        <v>-31379.091000000084</v>
      </c>
      <c r="AJ96" s="232"/>
      <c r="AK96" s="393"/>
      <c r="AL96" s="393"/>
      <c r="AM96" s="1193">
        <f ca="1">SUBTOTAL(109,TabCalc[SinceOpen])</f>
        <v>-293.50500000069405</v>
      </c>
      <c r="AN96" s="1194"/>
      <c r="AO96" s="1194"/>
      <c r="AP96" s="1195">
        <f ca="1">SUBTOTAL(101,TabCalc[Gravity])</f>
        <v>1.1541369692489576</v>
      </c>
      <c r="AQ96" s="1"/>
      <c r="AR96" s="1"/>
      <c r="AU96" s="328">
        <f ca="1">SUBTOTAL(105,TabCalc[Repulse])</f>
        <v>-135.44578161592506</v>
      </c>
      <c r="AZ96" s="12">
        <f ca="1">SUBTOTAL(103,TabCalc[NoT_C])</f>
        <v>93</v>
      </c>
      <c r="BA96" s="172">
        <f ca="1">SUBTOTAL(109,TabCalc[NoT_GL])</f>
        <v>14020513.00553629</v>
      </c>
      <c r="BB96" s="172">
        <f ca="1">SUBTOTAL(109,TabCalc[Free])</f>
        <v>0</v>
      </c>
      <c r="BC96" s="172">
        <f ca="1">SUBTOTAL(109,TabCalc[AddBuys])</f>
        <v>-64334435.933615603</v>
      </c>
      <c r="BD96" s="172">
        <f ca="1">SUBTOTAL(109,TabCalc[AddCash])</f>
        <v>-11072829.006627841</v>
      </c>
      <c r="BE96" s="172">
        <f ca="1">SUBTOTAL(109,TabCalc[AddValue])</f>
        <v>6923430.1182362856</v>
      </c>
      <c r="BF96" s="172">
        <f ca="1">SUBTOTAL(109,TabCalc[Tot_Paid])</f>
        <v>-89367389.490379319</v>
      </c>
      <c r="BG96" s="172">
        <f ca="1">SUBTOTAL(109,TabCalc[EfCost])</f>
        <v>-21352171.648754716</v>
      </c>
      <c r="BH96" s="172">
        <f ca="1">SUBTOTAL(109,TabCalc[S_Income])</f>
        <v>68068598.270746514</v>
      </c>
      <c r="BI96" s="172">
        <f ca="1">SUBTOTAL(109,TabCalc[GL])</f>
        <v>10604212.026245289</v>
      </c>
      <c r="BJ96" s="172">
        <f ca="1">SUBTOTAL(109,TabCalc[Gainers])</f>
        <v>12072772.370990001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3475285</v>
      </c>
      <c r="BN96" s="12"/>
      <c r="BO96" s="138"/>
      <c r="BP96" s="12"/>
      <c r="BQ96" s="172">
        <f ca="1">SUBTOTAL(109,TabCalc[CostReduct])</f>
        <v>-21912038.495461743</v>
      </c>
      <c r="BR96" s="232"/>
      <c r="BS96" s="12"/>
      <c r="BT96" s="12"/>
      <c r="BU96" s="12"/>
      <c r="BV96" s="12"/>
      <c r="BW96" s="234"/>
      <c r="BX96" s="172">
        <f ca="1">SUBTOTAL(109,TabCalc[Resale(ME)])</f>
        <v>48843417.217478976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-10468.844151888887</v>
      </c>
      <c r="CQ96" s="12">
        <f ca="1">SUBTOTAL(103,TabCalc[ntoBuy])</f>
        <v>93</v>
      </c>
      <c r="CR96" s="440">
        <f ca="1">SUBTOTAL(109,TabCalc[BuyCost])</f>
        <v>24508565.678925551</v>
      </c>
      <c r="CS96" s="12"/>
      <c r="CT96" s="440">
        <f ca="1">SUBTOTAL(109,TabCalc[vReverse])</f>
        <v>6758936.8194556786</v>
      </c>
      <c r="CU96" s="12"/>
      <c r="CV96" s="12">
        <f ca="1">SUBTOTAL(102,TabCalc[Revenue])</f>
        <v>58</v>
      </c>
      <c r="CW96" s="12"/>
      <c r="CX96" s="1142">
        <f ca="1">SUBTOTAL(101,TabCalc[Ann%RevLB])</f>
        <v>0.23195560029794168</v>
      </c>
      <c r="CY96" s="1202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39053466.562300004</v>
      </c>
      <c r="AW98" s="91">
        <f ca="1">TabCalc[[#Totals],[Free]]+TabCalc[[#Totals],[EfCost]]</f>
        <v>-21352171.648754716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-24261019.501454715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9820127.5068790689</v>
      </c>
      <c r="AW102" s="91">
        <f ca="1">SUMIF(TabCalc[EfCost],"&lt;0",TabCalc[EfCost])</f>
        <v>-24261019.501454715</v>
      </c>
      <c r="AX102" s="94">
        <f ca="1">SUMIF(TabCalc[GL],"&gt;0",TabCalc[ValueBegin])</f>
        <v>-17123982.903299998</v>
      </c>
      <c r="AY102" s="102">
        <f ca="1">SUMIF(TabCalc[GL],"&gt;0",TabCalc[M_V])</f>
        <v>22578059.229999997</v>
      </c>
      <c r="BA102" s="102">
        <f ca="1">SUMIF(TabCalc[GL],"&gt;0",TabCalc[AddBuys])</f>
        <v>-47903027.47037445</v>
      </c>
      <c r="BB102" s="102">
        <f ca="1">SUMIF(TabCalc[GL],"&gt;=0",TabCalc[AddCash])</f>
        <v>-4426448.3758507501</v>
      </c>
      <c r="BC102" s="102">
        <f ca="1">SUMIF(TabCalc[GL],"&gt;=0",TabCalc[AddValue])</f>
        <v>5454076.3267000001</v>
      </c>
      <c r="BD102" s="102">
        <f ca="1">SUMIF(TabCalc[GL],"&gt;0",TabCalc[Tot_Paid])</f>
        <v>-65027010.373674467</v>
      </c>
      <c r="BE102" s="102">
        <f ca="1">SUMIF(TabCalc[GL],"&gt;0",TabCalc[EfCost])</f>
        <v>-7322160.798417002</v>
      </c>
      <c r="BF102" s="102">
        <f ca="1">SUMIF(TabCalc[GL],"&gt;0",TabCalc[S_Income])</f>
        <v>57723154.977253519</v>
      </c>
      <c r="BG102" s="102">
        <f ca="1">SUMIF(TabCalc[GL],"&gt;0",TabCalc[GL])</f>
        <v>15255898.431583002</v>
      </c>
      <c r="BH102" s="102">
        <f ca="1">SUMIF(TabCalc[GL],"&gt;0",TabCalc[Gainers])</f>
        <v>12072772.370990001</v>
      </c>
      <c r="BI102" s="102">
        <f ca="1">Commission*(BD102-BF102)</f>
        <v>-306875.41337731993</v>
      </c>
      <c r="BJ102" s="96">
        <f ca="1">SUMIF(TabCalc[GL],"&gt;0",TabCalc[AddCash])</f>
        <v>-4426448.3758507501</v>
      </c>
      <c r="BK102" s="96">
        <f ca="1">SUMIF(TabCalc[GL],"&gt;0",TabCalc[S_Income])</f>
        <v>57723154.977253519</v>
      </c>
      <c r="BL102" s="874" t="s">
        <v>2300</v>
      </c>
      <c r="BM102" s="875">
        <f ca="1">SUMIFS(TabCalc[M_V], TabCalc[Cur], "="&amp;$BM$101, TabCalc[GL], "&gt;0")</f>
        <v>2345062.83</v>
      </c>
      <c r="BN102" s="875">
        <f ca="1">SUMIFS(TabCalc[M_V], TabCalc[Cur], "="&amp;$BN$101, TabCalc[GL], "&gt;0")</f>
        <v>17909916.400000002</v>
      </c>
      <c r="BO102" s="875">
        <f ca="1">SUMIFS(TabCalc[M_V], TabCalc[Cur], "="&amp;$BO$101, TabCalc[GL], "&gt;0")</f>
        <v>1526180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11963136.130000001</v>
      </c>
      <c r="BS102" s="96">
        <f ca="1">SUMIF(TabCalc[Free],"="&amp;BS101,TabCalc[M_V])</f>
        <v>10614923.1</v>
      </c>
      <c r="BT102" s="96">
        <f ca="1">SUMIF(TabCalc[Free],"="&amp;BT101,TabCalc[M_V])</f>
        <v>9378324.4450000003</v>
      </c>
    </row>
    <row r="103" spans="1:99" x14ac:dyDescent="0.3">
      <c r="AU103" s="152" t="s">
        <v>1511</v>
      </c>
      <c r="AV103" s="102">
        <f ca="1">BF103+BA103</f>
        <v>-6085965.1697481573</v>
      </c>
      <c r="AW103" s="91">
        <f ca="1">SUMIF(TabCalc[EfCost],"&gt;0",TabCalc[EfCost])</f>
        <v>2908847.8527000002</v>
      </c>
      <c r="AX103" s="94">
        <f ca="1">SUMIF(TabCalc[GL],"&lt;0",TabCalc[ValueBegin])</f>
        <v>-7908970.6534637166</v>
      </c>
      <c r="AY103" s="102">
        <f ca="1">SUMIF(TabCalc[GL],"&lt;0",TabCalc[M_V])</f>
        <v>9378324.4450000003</v>
      </c>
      <c r="BA103" s="102">
        <f ca="1">SUMIF(TabCalc[GL],"&lt;0",TabCalc[AddBuys])</f>
        <v>-16431408.463241158</v>
      </c>
      <c r="BB103" s="102">
        <f ca="1">SUMIF(TabCalc[GL],"&lt;0",TabCalc[AddCash])</f>
        <v>-6646380.6307770889</v>
      </c>
      <c r="BC103" s="102">
        <f ca="1">SUMIF(TabCalc[GL],"&lt;0",TabCalc[AddValue])</f>
        <v>1469353.7915362823</v>
      </c>
      <c r="BD103" s="102">
        <f ca="1">SUMIF(TabCalc[GL],"&lt;0",TabCalc[Tot_Paid])</f>
        <v>-24340379.116704877</v>
      </c>
      <c r="BE103" s="102">
        <f ca="1">SUMIF(TabCalc[GL],"&lt;0",TabCalc[EfCost])</f>
        <v>-14030010.850337714</v>
      </c>
      <c r="BF103" s="102">
        <f ca="1">SUMIF(TabCalc[GL],"&lt;0",TabCalc[S_Income])</f>
        <v>10345443.293493001</v>
      </c>
      <c r="BG103" s="102">
        <f ca="1">SUMIF(TabCalc[GL],"&lt;0",TabCalc[GL])</f>
        <v>-4651686.4053377183</v>
      </c>
      <c r="BH103" s="102">
        <f ca="1">SUMIF(TabCalc[GL],"&lt;0",TabCalc[Gainers])</f>
        <v>0</v>
      </c>
      <c r="BI103" s="102">
        <f ca="1">Commission*(BD103-BF103)</f>
        <v>-86714.55602549469</v>
      </c>
      <c r="BJ103" s="96">
        <f ca="1">SUMIF(TabCalc[GL],"&lt;0",TabCalc[AddCash])</f>
        <v>-6646380.6307770889</v>
      </c>
      <c r="BK103" s="96">
        <f ca="1">SUMIF(TabCalc[GL],"&lt;0",TabCalc[S_Income])</f>
        <v>10345443.293493001</v>
      </c>
      <c r="BL103" s="388" t="s">
        <v>2301</v>
      </c>
      <c r="BM103" s="880">
        <f ca="1">SUMIFS(TabCalc[M_V], TabCalc[Cur], "="&amp;$BM$101, TabCalc[GL], "&lt;0")</f>
        <v>6796560</v>
      </c>
      <c r="BN103" s="875">
        <f ca="1">SUMIFS(TabCalc[M_V], TabCalc[Cur], "="&amp;$BN$101, TabCalc[GL], "&lt;0")</f>
        <v>2581764.4449999998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0.37435825817046248</v>
      </c>
      <c r="BS103" s="333">
        <f ca="1">BS102/$AY$104</f>
        <v>0.33216909672743189</v>
      </c>
      <c r="BT103" s="333">
        <f ca="1">BT102/$AY$104</f>
        <v>0.29347264510210574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31956383.674999997</v>
      </c>
      <c r="AZ104" t="s">
        <v>1982</v>
      </c>
      <c r="BI104" s="711"/>
      <c r="BL104" s="881" t="s">
        <v>2303</v>
      </c>
      <c r="BM104" s="882">
        <f ca="1">BM103-F8-F7-F55</f>
        <v>439470.00000000047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-21352171.648754716</v>
      </c>
      <c r="BD105" s="91"/>
      <c r="BL105" s="874" t="s">
        <v>2293</v>
      </c>
      <c r="BM105" s="877">
        <f ca="1">SUMIFS(TabCalc[GL], TabCalc[Cur], BM$101, TabCalc[GL], "&gt;0")</f>
        <v>2001283.1869999999</v>
      </c>
      <c r="BN105" s="875">
        <f ca="1">SUMIFS(TabCalc[GL], TabCalc[Cur], BN$101, TabCalc[GL], "&gt;0")</f>
        <v>11707325.400289999</v>
      </c>
      <c r="BO105" s="876">
        <f ca="1">SUMIFS(TabCalc[GL], TabCalc[Cur], BO$101, TabCalc[GL], "&gt;0")</f>
        <v>1388195.5342929999</v>
      </c>
      <c r="BP105" s="875">
        <f ca="1">SUMIFS(TabCalc[GL], TabCalc[Cur], BP$101, TabCalc[GL], "&gt;0")</f>
        <v>159094.30999999994</v>
      </c>
      <c r="BQ105" s="874"/>
    </row>
    <row r="106" spans="1:99" x14ac:dyDescent="0.3">
      <c r="AZ106" t="s">
        <v>950</v>
      </c>
      <c r="BB106" s="91">
        <f ca="1">AY104+BB105</f>
        <v>10604212.026245281</v>
      </c>
      <c r="BC106" s="99">
        <f ca="1">ABS(BB106/BB105)</f>
        <v>0.49663388814428772</v>
      </c>
      <c r="BL106" s="874" t="s">
        <v>2294</v>
      </c>
      <c r="BM106" s="878">
        <f ca="1">SUMIFS(TabCalc[EfCost], TabCalc[Cur], BM$101, TabCalc[GL], "&gt;0")</f>
        <v>-343779.64300000016</v>
      </c>
      <c r="BN106" s="878">
        <f ca="1">SUMIFS(TabCalc[EfCost], TabCalc[Cur], BN$101, TabCalc[GL], "&gt;0")</f>
        <v>-6202590.9997100011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6923430.1182362856</v>
      </c>
      <c r="BC107" s="99">
        <f ca="1">BB107/BB106</f>
        <v>0.65289435000930662</v>
      </c>
      <c r="BL107" s="874" t="s">
        <v>2295</v>
      </c>
      <c r="BM107" s="879">
        <f ca="1">+ABS(BM105/BM106)</f>
        <v>5.821412721055153</v>
      </c>
      <c r="BN107" s="879">
        <f t="shared" ref="BN107:BP107" ca="1" si="6">+ABS(BN105/BN106)</f>
        <v>1.8874895025058671</v>
      </c>
      <c r="BO107" s="879">
        <f t="shared" ca="1" si="6"/>
        <v>10.060520415687462</v>
      </c>
      <c r="BP107" s="879">
        <f t="shared" ca="1" si="6"/>
        <v>0.24944009201297643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1782658.2515</v>
      </c>
      <c r="BN192" s="877">
        <f ca="1">SUMIFS(TabCalc[Gainers], TabCalc[Cur], BN$101, TabCalc[GL], "&gt;0")</f>
        <v>9182483.9523899984</v>
      </c>
      <c r="BO192" s="877">
        <f ca="1">SUMIFS(TabCalc[Gainers], TabCalc[Cur], BO$101, TabCalc[GL], "&gt;0")</f>
        <v>1107630.1671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1205962.4154999999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-17123982.903299998</v>
      </c>
      <c r="AW201" s="102">
        <f ca="1">-AV201</f>
        <v>17123982.903299998</v>
      </c>
      <c r="AX201" s="102">
        <f ca="1">BA102</f>
        <v>-47903027.47037445</v>
      </c>
      <c r="AY201" s="102">
        <f ca="1">AV201+AX201</f>
        <v>-65027010.373674452</v>
      </c>
      <c r="AZ201" s="102">
        <f ca="1">BF102</f>
        <v>57723154.977253519</v>
      </c>
      <c r="BA201" s="102">
        <f ca="1">AY201+AZ201</f>
        <v>-7303855.3964209333</v>
      </c>
      <c r="BB201" s="102">
        <f ca="1">AX201+AZ201</f>
        <v>9820127.5068790689</v>
      </c>
      <c r="BC201" s="102">
        <f ca="1">NetCash</f>
        <v>2908847.8527000002</v>
      </c>
      <c r="BD201" s="102">
        <f ca="1">BB201-BC201</f>
        <v>6911279.6541790683</v>
      </c>
      <c r="BE201" s="102">
        <f ca="1">AY102</f>
        <v>22578059.229999997</v>
      </c>
      <c r="BF201" s="102">
        <f ca="1">BE201-AW201</f>
        <v>5454076.3266999982</v>
      </c>
      <c r="BG201" s="102">
        <f ca="1">BC201+BF201</f>
        <v>8362924.1793999989</v>
      </c>
      <c r="BH201" s="102"/>
      <c r="BI201" s="99">
        <f ca="1">BE201/(-BA201)</f>
        <v>3.0912522229100805</v>
      </c>
      <c r="BJ201" s="102"/>
      <c r="BK201" s="99">
        <f ca="1">BF201/-BA201</f>
        <v>0.74673936307290911</v>
      </c>
      <c r="BL201" s="102">
        <f ca="1">(AY201-AZ201)*Commission</f>
        <v>-306875.41337731993</v>
      </c>
      <c r="IH201" s="308"/>
    </row>
    <row r="202" spans="47:242" x14ac:dyDescent="0.3">
      <c r="AU202" s="721" t="s">
        <v>2178</v>
      </c>
      <c r="AV202" s="102">
        <f ca="1">AX103</f>
        <v>-7908970.6534637166</v>
      </c>
      <c r="AW202" s="102">
        <f ca="1">-AV202</f>
        <v>7908970.6534637166</v>
      </c>
      <c r="AX202" s="102">
        <f ca="1">BA103</f>
        <v>-16431408.463241158</v>
      </c>
      <c r="AY202" s="102">
        <f ca="1">AV202+AX202</f>
        <v>-24340379.116704874</v>
      </c>
      <c r="AZ202" s="102">
        <f ca="1">BF103</f>
        <v>10345443.293493001</v>
      </c>
      <c r="BA202" s="102">
        <f ca="1">AY202+AZ202</f>
        <v>-13994935.823211873</v>
      </c>
      <c r="BB202" s="102">
        <f ca="1">AX202+AZ202</f>
        <v>-6085965.1697481573</v>
      </c>
      <c r="BC202" s="745">
        <v>0</v>
      </c>
      <c r="BD202" s="745">
        <v>0</v>
      </c>
      <c r="BE202" s="102">
        <f ca="1">AY103</f>
        <v>9378324.4450000003</v>
      </c>
      <c r="BF202" s="102">
        <f ca="1">BE202-AW202</f>
        <v>1469353.7915362837</v>
      </c>
      <c r="BG202" s="102">
        <f ca="1">BC202+BF202</f>
        <v>1469353.7915362837</v>
      </c>
      <c r="BH202" s="102"/>
      <c r="BI202" s="99">
        <f ca="1">BE202/(-BA202)</f>
        <v>0.67012271892274033</v>
      </c>
      <c r="BJ202" s="102"/>
      <c r="BK202" s="99">
        <f ca="1">BF202/-BA202</f>
        <v>0.1049918206198007</v>
      </c>
      <c r="BL202" s="102">
        <f ca="1">(AY202-AZ202)*Commission</f>
        <v>-86714.55602549469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-64334435.93361561</v>
      </c>
      <c r="AY203" s="792">
        <f t="shared" ref="AY203:BJ203" ca="1" si="8">AY201+AY202</f>
        <v>-89367389.490379333</v>
      </c>
      <c r="AZ203" s="792">
        <f t="shared" ca="1" si="8"/>
        <v>68068598.270746514</v>
      </c>
      <c r="BA203" s="792">
        <f t="shared" ca="1" si="8"/>
        <v>-21298791.219632804</v>
      </c>
      <c r="BB203" s="792">
        <f t="shared" ca="1" si="8"/>
        <v>3734162.3371309116</v>
      </c>
      <c r="BC203" s="792">
        <f t="shared" ca="1" si="8"/>
        <v>2908847.8527000002</v>
      </c>
      <c r="BD203" s="792">
        <f t="shared" ca="1" si="8"/>
        <v>6911279.6541790683</v>
      </c>
      <c r="BE203" s="792">
        <f t="shared" ca="1" si="8"/>
        <v>31956383.674999997</v>
      </c>
      <c r="BF203" s="792">
        <f t="shared" ca="1" si="8"/>
        <v>6923430.1182362819</v>
      </c>
      <c r="BG203" s="792">
        <f t="shared" ca="1" si="8"/>
        <v>9832277.9709362835</v>
      </c>
      <c r="BH203" s="792"/>
      <c r="BI203" s="973">
        <f ca="1">BE203/(-BA203)</f>
        <v>1.5003848502699644</v>
      </c>
      <c r="BJ203" s="792">
        <f t="shared" si="8"/>
        <v>0</v>
      </c>
      <c r="BK203" s="973">
        <f ca="1">BF203/-BA203</f>
        <v>0.32506211487975906</v>
      </c>
      <c r="BL203" s="102">
        <f ca="1">(AY203-AZ203)*Commission</f>
        <v>-393589.96940281469</v>
      </c>
    </row>
    <row r="215" spans="43:43" x14ac:dyDescent="0.3">
      <c r="AQ215" s="152"/>
    </row>
  </sheetData>
  <phoneticPr fontId="48" type="noConversion"/>
  <conditionalFormatting sqref="BM16 BI16">
    <cfRule type="containsText" dxfId="538" priority="136" operator="containsText" text="Pile">
      <formula>NOT(ISERROR(SEARCH("Pile",BI16)))</formula>
    </cfRule>
  </conditionalFormatting>
  <conditionalFormatting sqref="BO2:BO96">
    <cfRule type="containsText" dxfId="537" priority="135" operator="containsText" text="Pile">
      <formula>NOT(ISERROR(SEARCH("Pile",BO2)))</formula>
    </cfRule>
    <cfRule type="containsText" dxfId="536" priority="137" operator="containsText" text="Trade">
      <formula>NOT(ISERROR(SEARCH("Trade",BO2)))</formula>
    </cfRule>
  </conditionalFormatting>
  <conditionalFormatting sqref="H3:H95">
    <cfRule type="expression" dxfId="535" priority="127">
      <formula>$J3&gt;0</formula>
    </cfRule>
  </conditionalFormatting>
  <conditionalFormatting sqref="A2:A96">
    <cfRule type="containsText" dxfId="534" priority="126" operator="containsText" text="GBP">
      <formula>NOT(ISERROR(SEARCH("GBP",A2)))</formula>
    </cfRule>
  </conditionalFormatting>
  <conditionalFormatting sqref="AQ3:AR95">
    <cfRule type="containsText" dxfId="533" priority="116" operator="containsText" text="Free">
      <formula>NOT(ISERROR(SEARCH("Free",AQ3)))</formula>
    </cfRule>
    <cfRule type="containsText" dxfId="532" priority="117" operator="containsText" text="Buy">
      <formula>NOT(ISERROR(SEARCH("Buy",AQ3)))</formula>
    </cfRule>
    <cfRule type="containsText" dxfId="531" priority="124" operator="containsText" text="Refill">
      <formula>NOT(ISERROR(SEARCH("Refill",AQ3)))</formula>
    </cfRule>
    <cfRule type="containsText" dxfId="530" priority="134" operator="containsText" text="S_more">
      <formula>NOT(ISERROR(SEARCH("S_more",AQ3)))</formula>
    </cfRule>
  </conditionalFormatting>
  <conditionalFormatting sqref="AS2:AT96">
    <cfRule type="containsText" dxfId="529" priority="114" operator="containsText" text="Free">
      <formula>NOT(ISERROR(SEARCH("Free",AS2)))</formula>
    </cfRule>
    <cfRule type="containsText" dxfId="528" priority="115" operator="containsText" text="Sell">
      <formula>NOT(ISERROR(SEARCH("Sell",AS2)))</formula>
    </cfRule>
    <cfRule type="containsText" dxfId="527" priority="122" operator="containsText" text="Re-Sell">
      <formula>NOT(ISERROR(SEARCH("Re-Sell",AS2)))</formula>
    </cfRule>
    <cfRule type="containsText" dxfId="526" priority="123" operator="containsText" text="B_more">
      <formula>NOT(ISERROR(SEARCH("B_more",AS2)))</formula>
    </cfRule>
  </conditionalFormatting>
  <conditionalFormatting sqref="AT3:AT95">
    <cfRule type="cellIs" dxfId="525" priority="118" operator="lessThan">
      <formula>0</formula>
    </cfRule>
  </conditionalFormatting>
  <conditionalFormatting sqref="I3:I95">
    <cfRule type="expression" dxfId="524" priority="585">
      <formula>$I3&gt;MAX(ABS($J3),$L3)</formula>
    </cfRule>
    <cfRule type="expression" dxfId="523" priority="586" stopIfTrue="1">
      <formula>$L3&gt;$J3</formula>
    </cfRule>
    <cfRule type="expression" dxfId="522" priority="587">
      <formula>$I3&lt;MIN(ABS($J3),$L3)</formula>
    </cfRule>
  </conditionalFormatting>
  <conditionalFormatting sqref="J3:K95">
    <cfRule type="expression" dxfId="521" priority="588">
      <formula>ABS($J3)&lt;MIN($L3,$I3)</formula>
    </cfRule>
    <cfRule type="expression" dxfId="520" priority="589" stopIfTrue="1">
      <formula>$L3&gt;$I3</formula>
    </cfRule>
    <cfRule type="expression" dxfId="519" priority="590" stopIfTrue="1">
      <formula>ABS($J3)&gt;$L3</formula>
    </cfRule>
    <cfRule type="expression" dxfId="518" priority="591">
      <formula>ABS($J3)&gt;MAX($L3,$I3)</formula>
    </cfRule>
  </conditionalFormatting>
  <conditionalFormatting sqref="AP2:AP95">
    <cfRule type="cellIs" dxfId="517" priority="107" operator="equal">
      <formula>0</formula>
    </cfRule>
    <cfRule type="cellIs" dxfId="516" priority="108" operator="greaterThanOrEqual">
      <formula>200%</formula>
    </cfRule>
    <cfRule type="cellIs" dxfId="515" priority="109" operator="lessThan">
      <formula>1</formula>
    </cfRule>
  </conditionalFormatting>
  <conditionalFormatting sqref="BI3:BI95">
    <cfRule type="cellIs" dxfId="514" priority="105" operator="greaterThan">
      <formula>0</formula>
    </cfRule>
    <cfRule type="cellIs" dxfId="513" priority="106" operator="lessThan">
      <formula>0</formula>
    </cfRule>
  </conditionalFormatting>
  <conditionalFormatting sqref="P3:P95 S3:U95">
    <cfRule type="colorScale" priority="1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512" priority="7">
      <formula>ROW()=CELL("row")</formula>
    </cfRule>
  </conditionalFormatting>
  <conditionalFormatting sqref="A1:XFD1 A97:XFD210 CZ2:XFD96 A2:CX96">
    <cfRule type="expression" dxfId="511" priority="6">
      <formula>AND(ROW()&gt;2, ROW()=SelRowNum)</formula>
    </cfRule>
  </conditionalFormatting>
  <conditionalFormatting sqref="CX2:CX96">
    <cfRule type="cellIs" dxfId="510" priority="5" operator="lessThan">
      <formula>0</formula>
    </cfRule>
  </conditionalFormatting>
  <conditionalFormatting sqref="AM3:AM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:AO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A107" zoomScale="80" zoomScaleNormal="80" workbookViewId="0">
      <selection activeCell="AV1767" sqref="AV1767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TSLA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45912</v>
      </c>
      <c r="F2" s="63">
        <v>45887</v>
      </c>
      <c r="G2" s="63">
        <v>45888</v>
      </c>
      <c r="H2" s="63">
        <v>45889</v>
      </c>
      <c r="I2" s="63">
        <v>45890</v>
      </c>
      <c r="J2" s="63">
        <v>45891</v>
      </c>
      <c r="K2" s="63">
        <v>45894</v>
      </c>
      <c r="L2" s="63">
        <v>45895</v>
      </c>
      <c r="M2" s="63">
        <v>45896</v>
      </c>
      <c r="N2" s="63">
        <v>45897</v>
      </c>
      <c r="O2" s="63">
        <v>45898</v>
      </c>
      <c r="P2" s="63">
        <v>45901</v>
      </c>
      <c r="Q2" s="63">
        <v>45902</v>
      </c>
      <c r="R2" s="63">
        <v>45903</v>
      </c>
      <c r="S2" s="63">
        <v>45904</v>
      </c>
      <c r="T2" s="63">
        <v>45905</v>
      </c>
      <c r="U2" s="63">
        <v>45908</v>
      </c>
      <c r="V2" s="63">
        <v>45909</v>
      </c>
      <c r="W2" s="63">
        <v>45910</v>
      </c>
      <c r="X2" s="63">
        <v>45911</v>
      </c>
      <c r="Y2" s="63">
        <v>45912</v>
      </c>
      <c r="Z2" s="942">
        <f ca="1">TODAY()</f>
        <v>45912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45887</v>
      </c>
      <c r="G3" s="63" cm="1">
        <f t="array" ref="G3">Table42[Date19]</f>
        <v>45888</v>
      </c>
      <c r="H3" s="63" cm="1">
        <f t="array" ref="H3">Table42[Date18]</f>
        <v>45889</v>
      </c>
      <c r="I3" s="63" cm="1">
        <f t="array" ref="I3">Table42[Date17]</f>
        <v>45890</v>
      </c>
      <c r="J3" s="63" cm="1">
        <f t="array" ref="J3">Table42[Date16]</f>
        <v>45891</v>
      </c>
      <c r="K3" s="63" cm="1">
        <f t="array" ref="K3">Table42[Date15]</f>
        <v>45894</v>
      </c>
      <c r="L3" s="63" cm="1">
        <f t="array" ref="L3">Table42[Date14]</f>
        <v>45895</v>
      </c>
      <c r="M3" s="63" cm="1">
        <f t="array" ref="M3">Table42[Date13]</f>
        <v>45896</v>
      </c>
      <c r="N3" s="63" cm="1">
        <f t="array" ref="N3">Table42[Date12]</f>
        <v>45897</v>
      </c>
      <c r="O3" s="63" cm="1">
        <f t="array" ref="O3">Table42[Date11]</f>
        <v>45898</v>
      </c>
      <c r="P3" s="63" cm="1">
        <f t="array" ref="P3">Table42[Date10]</f>
        <v>45901</v>
      </c>
      <c r="Q3" s="63" cm="1">
        <f t="array" ref="Q3">Table42[Date9]</f>
        <v>45902</v>
      </c>
      <c r="R3" s="63" cm="1">
        <f t="array" ref="R3">Table42[Date8]</f>
        <v>45903</v>
      </c>
      <c r="S3" s="63" cm="1">
        <f t="array" ref="S3">Table42[Date7]</f>
        <v>45904</v>
      </c>
      <c r="T3" s="63" cm="1">
        <f t="array" ref="T3">Table42[Date6]</f>
        <v>45905</v>
      </c>
      <c r="U3" s="63" cm="1">
        <f t="array" ref="U3">Table42[Date5]</f>
        <v>45908</v>
      </c>
      <c r="V3" s="63" cm="1">
        <f t="array" ref="V3">Table42[Date4]</f>
        <v>45909</v>
      </c>
      <c r="W3" s="63" cm="1">
        <f t="array" ref="W3">Table42[Date3]</f>
        <v>45910</v>
      </c>
      <c r="X3" s="63" cm="1">
        <f t="array" ref="X3">Table42[Date2]</f>
        <v>45911</v>
      </c>
      <c r="Y3" s="63" cm="1">
        <f t="array" ref="Y3">Table42[Date1]</f>
        <v>45912</v>
      </c>
      <c r="Z3" s="63" cm="1">
        <f t="array" aca="1" ref="Z3" ca="1">Table42[Date0]</f>
        <v>45912</v>
      </c>
      <c r="AA3" s="5"/>
      <c r="AB3" s="128">
        <f t="shared" ref="AB3:AV3" si="0">F3</f>
        <v>45887</v>
      </c>
      <c r="AC3" s="128">
        <f t="shared" si="0"/>
        <v>45888</v>
      </c>
      <c r="AD3" s="128">
        <f t="shared" si="0"/>
        <v>45889</v>
      </c>
      <c r="AE3" s="128">
        <f t="shared" si="0"/>
        <v>45890</v>
      </c>
      <c r="AF3" s="128">
        <f t="shared" si="0"/>
        <v>45891</v>
      </c>
      <c r="AG3" s="128">
        <f t="shared" si="0"/>
        <v>45894</v>
      </c>
      <c r="AH3" s="128">
        <f t="shared" si="0"/>
        <v>45895</v>
      </c>
      <c r="AI3" s="128">
        <f t="shared" si="0"/>
        <v>45896</v>
      </c>
      <c r="AJ3" s="128">
        <f t="shared" si="0"/>
        <v>45897</v>
      </c>
      <c r="AK3" s="128">
        <f t="shared" si="0"/>
        <v>45898</v>
      </c>
      <c r="AL3" s="128">
        <f t="shared" si="0"/>
        <v>45901</v>
      </c>
      <c r="AM3" s="128">
        <f t="shared" si="0"/>
        <v>45902</v>
      </c>
      <c r="AN3" s="128">
        <f t="shared" si="0"/>
        <v>45903</v>
      </c>
      <c r="AO3" s="128">
        <f t="shared" si="0"/>
        <v>45904</v>
      </c>
      <c r="AP3" s="128">
        <f t="shared" si="0"/>
        <v>45905</v>
      </c>
      <c r="AQ3" s="128">
        <f t="shared" si="0"/>
        <v>45908</v>
      </c>
      <c r="AR3" s="128">
        <f t="shared" si="0"/>
        <v>45909</v>
      </c>
      <c r="AS3" s="128">
        <f t="shared" si="0"/>
        <v>45910</v>
      </c>
      <c r="AT3" s="128">
        <f t="shared" si="0"/>
        <v>45911</v>
      </c>
      <c r="AU3" s="128">
        <f t="shared" si="0"/>
        <v>45912</v>
      </c>
      <c r="AV3" s="128">
        <f t="shared" ca="1" si="0"/>
        <v>45912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45912.856644582811</v>
      </c>
      <c r="F5" s="263">
        <v>233.33</v>
      </c>
      <c r="G5" s="263">
        <v>232.78</v>
      </c>
      <c r="H5" s="263">
        <v>231.59</v>
      </c>
      <c r="I5" s="263">
        <v>230.89</v>
      </c>
      <c r="J5" s="263">
        <v>230.89</v>
      </c>
      <c r="K5" s="263">
        <v>230.56</v>
      </c>
      <c r="L5" s="263">
        <v>227.76</v>
      </c>
      <c r="M5" s="263">
        <v>227.16</v>
      </c>
      <c r="N5" s="263">
        <v>229.31</v>
      </c>
      <c r="O5" s="263">
        <v>230.49</v>
      </c>
      <c r="P5" s="263">
        <v>232.56</v>
      </c>
      <c r="Q5" s="263">
        <v>232.14</v>
      </c>
      <c r="R5" s="263">
        <v>229.72</v>
      </c>
      <c r="S5" s="263">
        <v>229.72</v>
      </c>
      <c r="T5" s="263">
        <v>238.47</v>
      </c>
      <c r="U5" s="263">
        <v>239.69</v>
      </c>
      <c r="V5" s="263">
        <v>237.88</v>
      </c>
      <c r="W5" s="264">
        <v>234.35</v>
      </c>
      <c r="X5" s="263">
        <v>226.79</v>
      </c>
      <c r="Y5" s="263">
        <v>230.03</v>
      </c>
      <c r="Z5" s="265">
        <f ca="1">[1]ExtEntry!$F3</f>
        <v>230.03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10800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45912.840320728908</v>
      </c>
      <c r="F6" s="271">
        <v>15.22</v>
      </c>
      <c r="G6" s="271">
        <v>14.94</v>
      </c>
      <c r="H6" s="271">
        <v>14.98</v>
      </c>
      <c r="I6" s="271">
        <v>15.1</v>
      </c>
      <c r="J6" s="271">
        <v>15.1</v>
      </c>
      <c r="K6" s="271">
        <v>14.81</v>
      </c>
      <c r="L6" s="271">
        <v>15.52</v>
      </c>
      <c r="M6" s="271">
        <v>15.53</v>
      </c>
      <c r="N6" s="271">
        <v>15.36</v>
      </c>
      <c r="O6" s="271">
        <v>15.56</v>
      </c>
      <c r="P6" s="271">
        <v>15.48</v>
      </c>
      <c r="Q6" s="271">
        <v>15.04</v>
      </c>
      <c r="R6" s="271">
        <v>14.9</v>
      </c>
      <c r="S6" s="271">
        <v>14.9</v>
      </c>
      <c r="T6" s="271">
        <v>15.26</v>
      </c>
      <c r="U6" s="271">
        <v>15.43</v>
      </c>
      <c r="V6" s="271">
        <v>15.37</v>
      </c>
      <c r="W6" s="272">
        <v>15.35</v>
      </c>
      <c r="X6" s="271">
        <v>15.11</v>
      </c>
      <c r="Y6" s="271">
        <v>15.66</v>
      </c>
      <c r="Z6" s="273">
        <f ca="1">[1]ExtEntry!$F4</f>
        <v>15.66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45912.649582835154</v>
      </c>
      <c r="F7" s="263">
        <v>48.2</v>
      </c>
      <c r="G7" s="263">
        <v>46.8</v>
      </c>
      <c r="H7" s="263">
        <v>45.1</v>
      </c>
      <c r="I7" s="263">
        <v>46.8</v>
      </c>
      <c r="J7" s="263">
        <v>46.8</v>
      </c>
      <c r="K7" s="263">
        <v>46.5</v>
      </c>
      <c r="L7" s="263">
        <v>48.2</v>
      </c>
      <c r="M7" s="263">
        <v>48.7</v>
      </c>
      <c r="N7" s="263">
        <v>49</v>
      </c>
      <c r="O7" s="263">
        <v>48.4</v>
      </c>
      <c r="P7" s="263">
        <v>49.2</v>
      </c>
      <c r="Q7" s="263">
        <v>51.2</v>
      </c>
      <c r="R7" s="263">
        <v>51.6</v>
      </c>
      <c r="S7" s="263">
        <v>51.4</v>
      </c>
      <c r="T7" s="263">
        <v>54.4</v>
      </c>
      <c r="U7" s="263">
        <v>54.4</v>
      </c>
      <c r="V7" s="263">
        <v>55</v>
      </c>
      <c r="W7" s="264">
        <v>54.6</v>
      </c>
      <c r="X7" s="263">
        <v>51.6</v>
      </c>
      <c r="Y7" s="263">
        <v>51.2</v>
      </c>
      <c r="Z7" s="265">
        <f ca="1">[1]ExtEntry!$F5</f>
        <v>51.2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45912.856605867972</v>
      </c>
      <c r="F8" s="271">
        <v>224.56</v>
      </c>
      <c r="G8" s="271">
        <v>230.98</v>
      </c>
      <c r="H8" s="271">
        <v>231.03</v>
      </c>
      <c r="I8" s="271">
        <v>231.49</v>
      </c>
      <c r="J8" s="271">
        <v>231.49</v>
      </c>
      <c r="K8" s="271">
        <v>228.01</v>
      </c>
      <c r="L8" s="271">
        <v>228.84</v>
      </c>
      <c r="M8" s="271">
        <v>227.94</v>
      </c>
      <c r="N8" s="271">
        <v>228.71</v>
      </c>
      <c r="O8" s="271">
        <v>229.12</v>
      </c>
      <c r="P8" s="271">
        <v>231.6</v>
      </c>
      <c r="Q8" s="271">
        <v>229</v>
      </c>
      <c r="R8" s="271">
        <v>225.34</v>
      </c>
      <c r="S8" s="271">
        <v>225.34</v>
      </c>
      <c r="T8" s="271">
        <v>225.99</v>
      </c>
      <c r="U8" s="271">
        <v>232.33</v>
      </c>
      <c r="V8" s="271">
        <v>235.84</v>
      </c>
      <c r="W8" s="272">
        <v>238.24</v>
      </c>
      <c r="X8" s="271">
        <v>230.33</v>
      </c>
      <c r="Y8" s="271">
        <v>229.95</v>
      </c>
      <c r="Z8" s="273">
        <f ca="1">[1]ExtEntry!$F6</f>
        <v>229.95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45912.666666666664</v>
      </c>
      <c r="F9" s="263">
        <v>0.96</v>
      </c>
      <c r="G9" s="263">
        <v>0.96</v>
      </c>
      <c r="H9" s="263">
        <v>0.96</v>
      </c>
      <c r="I9" s="263">
        <v>0.96</v>
      </c>
      <c r="J9" s="263">
        <v>0.96</v>
      </c>
      <c r="K9" s="263">
        <v>0.94799999999999995</v>
      </c>
      <c r="L9" s="263">
        <v>0.94</v>
      </c>
      <c r="M9" s="263">
        <v>0.91800000000000004</v>
      </c>
      <c r="N9" s="263">
        <v>0.91</v>
      </c>
      <c r="O9" s="263">
        <v>0.91800000000000004</v>
      </c>
      <c r="P9" s="263">
        <v>0.93799999999999994</v>
      </c>
      <c r="Q9" s="263">
        <v>0.91</v>
      </c>
      <c r="R9" s="263">
        <v>0.9</v>
      </c>
      <c r="S9" s="263">
        <v>0.92800000000000005</v>
      </c>
      <c r="T9" s="263">
        <v>0.872</v>
      </c>
      <c r="U9" s="263">
        <v>0.91</v>
      </c>
      <c r="V9" s="263">
        <v>0.89</v>
      </c>
      <c r="W9" s="264">
        <v>0.90200000000000002</v>
      </c>
      <c r="X9" s="263">
        <v>0.90800000000000003</v>
      </c>
      <c r="Y9" s="263">
        <v>0.88800000000000001</v>
      </c>
      <c r="Z9" s="265">
        <f ca="1">[1]ExtEntry!$F7</f>
        <v>0.88800000000000001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45912.666666666664</v>
      </c>
      <c r="F10" s="271">
        <v>640.6</v>
      </c>
      <c r="G10" s="271">
        <v>642.9</v>
      </c>
      <c r="H10" s="271">
        <v>636.70000000000005</v>
      </c>
      <c r="I10" s="271">
        <v>638.70000000000005</v>
      </c>
      <c r="J10" s="271">
        <v>638.70000000000005</v>
      </c>
      <c r="K10" s="271">
        <v>642.29999999999995</v>
      </c>
      <c r="L10" s="271">
        <v>646.20000000000005</v>
      </c>
      <c r="M10" s="271">
        <v>646.70000000000005</v>
      </c>
      <c r="N10" s="271">
        <v>650.6</v>
      </c>
      <c r="O10" s="271">
        <v>660.2</v>
      </c>
      <c r="P10" s="271">
        <v>636.6</v>
      </c>
      <c r="Q10" s="271">
        <v>636.1</v>
      </c>
      <c r="R10" s="271">
        <v>617.20000000000005</v>
      </c>
      <c r="S10" s="271">
        <v>625.29999999999995</v>
      </c>
      <c r="T10" s="271">
        <v>647.6</v>
      </c>
      <c r="U10" s="271">
        <v>660.2</v>
      </c>
      <c r="V10" s="271">
        <v>676.6</v>
      </c>
      <c r="W10" s="272">
        <v>683.2</v>
      </c>
      <c r="X10" s="271">
        <v>680.2</v>
      </c>
      <c r="Y10" s="271">
        <v>686</v>
      </c>
      <c r="Z10" s="273">
        <f ca="1">[1]ExtEntry!$F8</f>
        <v>686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5000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5500</v>
      </c>
      <c r="AN10" s="404">
        <v>5500</v>
      </c>
      <c r="AO10" s="404">
        <v>5500</v>
      </c>
      <c r="AP10" s="404">
        <v>5500</v>
      </c>
      <c r="AQ10" s="404">
        <v>5300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45912.855489224217</v>
      </c>
      <c r="F11" s="271">
        <v>77.94</v>
      </c>
      <c r="G11" s="271">
        <v>78.47</v>
      </c>
      <c r="H11" s="271">
        <v>79.17</v>
      </c>
      <c r="I11" s="271">
        <v>79.12</v>
      </c>
      <c r="J11" s="271">
        <v>79.12</v>
      </c>
      <c r="K11" s="271">
        <v>79.540000000000006</v>
      </c>
      <c r="L11" s="271">
        <v>80.97</v>
      </c>
      <c r="M11" s="271">
        <v>79.66</v>
      </c>
      <c r="N11" s="271">
        <v>80.05</v>
      </c>
      <c r="O11" s="271">
        <v>79.930000000000007</v>
      </c>
      <c r="P11" s="271">
        <v>79.989999999999995</v>
      </c>
      <c r="Q11" s="271">
        <v>79.900000000000006</v>
      </c>
      <c r="R11" s="271">
        <v>80.19</v>
      </c>
      <c r="S11" s="271">
        <v>80.19</v>
      </c>
      <c r="T11" s="271">
        <v>82.11</v>
      </c>
      <c r="U11" s="271">
        <v>81.7</v>
      </c>
      <c r="V11" s="271">
        <v>81.56</v>
      </c>
      <c r="W11" s="272">
        <v>81.22</v>
      </c>
      <c r="X11" s="271">
        <v>80.81</v>
      </c>
      <c r="Y11" s="271">
        <v>81.099999999999994</v>
      </c>
      <c r="Z11" s="273">
        <f ca="1">[1]ExtEntry!$F9</f>
        <v>81.099999999999994</v>
      </c>
      <c r="AA11" s="291"/>
      <c r="AB11" s="404">
        <v>3000</v>
      </c>
      <c r="AC11" s="404">
        <v>3000</v>
      </c>
      <c r="AD11" s="404">
        <v>3000</v>
      </c>
      <c r="AE11" s="404">
        <v>1000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45912.856385832813</v>
      </c>
      <c r="F12" s="271">
        <v>1.87</v>
      </c>
      <c r="G12" s="271">
        <v>1.83</v>
      </c>
      <c r="H12" s="271">
        <v>2</v>
      </c>
      <c r="I12" s="271">
        <v>1.99</v>
      </c>
      <c r="J12" s="271">
        <v>1.99</v>
      </c>
      <c r="K12" s="271">
        <v>1.94</v>
      </c>
      <c r="L12" s="271">
        <v>2.0099999999999998</v>
      </c>
      <c r="M12" s="271">
        <v>2.0099999999999998</v>
      </c>
      <c r="N12" s="271">
        <v>2.06</v>
      </c>
      <c r="O12" s="271">
        <v>2.02</v>
      </c>
      <c r="P12" s="271">
        <v>2.0299999999999998</v>
      </c>
      <c r="Q12" s="271">
        <v>2.02</v>
      </c>
      <c r="R12" s="271">
        <v>1.86</v>
      </c>
      <c r="S12" s="271">
        <v>1.86</v>
      </c>
      <c r="T12" s="271">
        <v>1.89</v>
      </c>
      <c r="U12" s="271">
        <v>1.99</v>
      </c>
      <c r="V12" s="271">
        <v>1.94</v>
      </c>
      <c r="W12" s="272">
        <v>1.89</v>
      </c>
      <c r="X12" s="271">
        <v>1.93</v>
      </c>
      <c r="Y12" s="271">
        <v>2.0499999999999998</v>
      </c>
      <c r="Z12" s="273">
        <f ca="1">[1]ExtEntry!$F10</f>
        <v>2.0499999999999998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45912.856250693752</v>
      </c>
      <c r="F13" s="271">
        <v>3.06</v>
      </c>
      <c r="G13" s="271">
        <v>3.51</v>
      </c>
      <c r="H13" s="271">
        <v>3.17</v>
      </c>
      <c r="I13" s="271">
        <v>3.07</v>
      </c>
      <c r="J13" s="271">
        <v>3.07</v>
      </c>
      <c r="K13" s="271">
        <v>2.97</v>
      </c>
      <c r="L13" s="271">
        <v>3.47</v>
      </c>
      <c r="M13" s="271">
        <v>3.43</v>
      </c>
      <c r="N13" s="271">
        <v>3.29</v>
      </c>
      <c r="O13" s="271">
        <v>3.15</v>
      </c>
      <c r="P13" s="271">
        <v>3.16</v>
      </c>
      <c r="Q13" s="271">
        <v>3.13</v>
      </c>
      <c r="R13" s="271">
        <v>3</v>
      </c>
      <c r="S13" s="271">
        <v>3</v>
      </c>
      <c r="T13" s="271">
        <v>2.85</v>
      </c>
      <c r="U13" s="271">
        <v>2.75</v>
      </c>
      <c r="V13" s="271">
        <v>2.91</v>
      </c>
      <c r="W13" s="272">
        <v>2.91</v>
      </c>
      <c r="X13" s="271">
        <v>2.93</v>
      </c>
      <c r="Y13" s="271">
        <v>2.95</v>
      </c>
      <c r="Z13" s="273">
        <f ca="1">[1]ExtEntry!$F11</f>
        <v>2.95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45912.855562210156</v>
      </c>
      <c r="F14" s="271">
        <v>94.65</v>
      </c>
      <c r="G14" s="271">
        <v>95.46</v>
      </c>
      <c r="H14" s="271">
        <v>93.69</v>
      </c>
      <c r="I14" s="271">
        <v>94.22</v>
      </c>
      <c r="J14" s="271">
        <v>94.22</v>
      </c>
      <c r="K14" s="271">
        <v>93.74</v>
      </c>
      <c r="L14" s="271">
        <v>95.26</v>
      </c>
      <c r="M14" s="271">
        <v>95</v>
      </c>
      <c r="N14" s="271">
        <v>95.72</v>
      </c>
      <c r="O14" s="271">
        <v>96.87</v>
      </c>
      <c r="P14" s="271">
        <v>96.82</v>
      </c>
      <c r="Q14" s="271">
        <v>96.57</v>
      </c>
      <c r="R14" s="271">
        <v>94.78</v>
      </c>
      <c r="S14" s="271">
        <v>94.78</v>
      </c>
      <c r="T14" s="271">
        <v>95.03</v>
      </c>
      <c r="U14" s="271">
        <v>95.4</v>
      </c>
      <c r="V14" s="271">
        <v>95.87</v>
      </c>
      <c r="W14" s="272">
        <v>97.34</v>
      </c>
      <c r="X14" s="271">
        <v>97.17</v>
      </c>
      <c r="Y14" s="271">
        <v>98.82</v>
      </c>
      <c r="Z14" s="273">
        <f ca="1">[1]ExtEntry!$F12</f>
        <v>98.82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5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45912.855756203127</v>
      </c>
      <c r="F15" s="271">
        <v>70.400000000000006</v>
      </c>
      <c r="G15" s="271">
        <v>69.3</v>
      </c>
      <c r="H15" s="271">
        <v>66.2</v>
      </c>
      <c r="I15" s="271">
        <v>66.95</v>
      </c>
      <c r="J15" s="271">
        <v>66.95</v>
      </c>
      <c r="K15" s="271">
        <v>66.760000000000005</v>
      </c>
      <c r="L15" s="271">
        <v>67.319999999999993</v>
      </c>
      <c r="M15" s="271">
        <v>67.14</v>
      </c>
      <c r="N15" s="271">
        <v>68.39</v>
      </c>
      <c r="O15" s="271">
        <v>68.44</v>
      </c>
      <c r="P15" s="271">
        <v>69.430000000000007</v>
      </c>
      <c r="Q15" s="271">
        <v>69.09</v>
      </c>
      <c r="R15" s="271">
        <v>67.8</v>
      </c>
      <c r="S15" s="271">
        <v>67.8</v>
      </c>
      <c r="T15" s="271">
        <v>67.67</v>
      </c>
      <c r="U15" s="271">
        <v>66.900000000000006</v>
      </c>
      <c r="V15" s="271">
        <v>66.88</v>
      </c>
      <c r="W15" s="272">
        <v>67.34</v>
      </c>
      <c r="X15" s="271">
        <v>68.13</v>
      </c>
      <c r="Y15" s="271">
        <v>67.69</v>
      </c>
      <c r="Z15" s="273">
        <f ca="1">[1]ExtEntry!$F13</f>
        <v>67.69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45912.855159050778</v>
      </c>
      <c r="F16" s="271">
        <v>65.900000000000006</v>
      </c>
      <c r="G16" s="271">
        <v>66.73</v>
      </c>
      <c r="H16" s="271">
        <v>68.599999999999994</v>
      </c>
      <c r="I16" s="271">
        <v>70.17</v>
      </c>
      <c r="J16" s="271">
        <v>70.17</v>
      </c>
      <c r="K16" s="271">
        <v>70.97</v>
      </c>
      <c r="L16" s="271">
        <v>71.3</v>
      </c>
      <c r="M16" s="271">
        <v>71.209999999999994</v>
      </c>
      <c r="N16" s="271">
        <v>71.55</v>
      </c>
      <c r="O16" s="271">
        <v>71.930000000000007</v>
      </c>
      <c r="P16" s="271">
        <v>72.14</v>
      </c>
      <c r="Q16" s="271">
        <v>73.150000000000006</v>
      </c>
      <c r="R16" s="271">
        <v>74.09</v>
      </c>
      <c r="S16" s="271">
        <v>74.09</v>
      </c>
      <c r="T16" s="271">
        <v>73.319999999999993</v>
      </c>
      <c r="U16" s="271">
        <v>73.78</v>
      </c>
      <c r="V16" s="271">
        <v>70.260000000000005</v>
      </c>
      <c r="W16" s="272">
        <v>71.75</v>
      </c>
      <c r="X16" s="271">
        <v>73.97</v>
      </c>
      <c r="Y16" s="271">
        <v>74.67</v>
      </c>
      <c r="Z16" s="273">
        <f ca="1">[1]ExtEntry!$F14</f>
        <v>74.67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45912.85209288125</v>
      </c>
      <c r="F17" s="271">
        <v>2.33</v>
      </c>
      <c r="G17" s="271">
        <v>2.09</v>
      </c>
      <c r="H17" s="271">
        <v>2.0499999999999998</v>
      </c>
      <c r="I17" s="271">
        <v>2.09</v>
      </c>
      <c r="J17" s="271">
        <v>2.09</v>
      </c>
      <c r="K17" s="271">
        <v>1.97</v>
      </c>
      <c r="L17" s="271">
        <v>2.1</v>
      </c>
      <c r="M17" s="271">
        <v>2.1800000000000002</v>
      </c>
      <c r="N17" s="271">
        <v>2.15</v>
      </c>
      <c r="O17" s="271">
        <v>2.56</v>
      </c>
      <c r="P17" s="271">
        <v>2.41</v>
      </c>
      <c r="Q17" s="271">
        <v>2.2999999999999998</v>
      </c>
      <c r="R17" s="271">
        <v>2.1800000000000002</v>
      </c>
      <c r="S17" s="271">
        <v>2.1800000000000002</v>
      </c>
      <c r="T17" s="271">
        <v>2.0499999999999998</v>
      </c>
      <c r="U17" s="271">
        <v>2.12</v>
      </c>
      <c r="V17" s="271">
        <v>2.17</v>
      </c>
      <c r="W17" s="272">
        <v>2.1</v>
      </c>
      <c r="X17" s="271">
        <v>2.12</v>
      </c>
      <c r="Y17" s="271">
        <v>2.25</v>
      </c>
      <c r="Z17" s="273">
        <f ca="1">[1]ExtEntry!$F15</f>
        <v>2.25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45912.855752546093</v>
      </c>
      <c r="F18" s="271">
        <v>116.64</v>
      </c>
      <c r="G18" s="271">
        <v>116.31</v>
      </c>
      <c r="H18" s="271">
        <v>115.39</v>
      </c>
      <c r="I18" s="271">
        <v>116.55</v>
      </c>
      <c r="J18" s="271">
        <v>116.55</v>
      </c>
      <c r="K18" s="271">
        <v>116.27</v>
      </c>
      <c r="L18" s="271">
        <v>118.86</v>
      </c>
      <c r="M18" s="271">
        <v>117.71</v>
      </c>
      <c r="N18" s="271">
        <v>117.65</v>
      </c>
      <c r="O18" s="271">
        <v>118.09</v>
      </c>
      <c r="P18" s="271">
        <v>117.64</v>
      </c>
      <c r="Q18" s="271">
        <v>118.38</v>
      </c>
      <c r="R18" s="271">
        <v>118.27</v>
      </c>
      <c r="S18" s="271">
        <v>118.27</v>
      </c>
      <c r="T18" s="271">
        <v>117.38</v>
      </c>
      <c r="U18" s="271">
        <v>117.91</v>
      </c>
      <c r="V18" s="271">
        <v>118.84</v>
      </c>
      <c r="W18" s="272">
        <v>117.37</v>
      </c>
      <c r="X18" s="271">
        <v>115.79</v>
      </c>
      <c r="Y18" s="271">
        <v>117.08</v>
      </c>
      <c r="Z18" s="273">
        <f ca="1">[1]ExtEntry!$F16</f>
        <v>117.08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1000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45912.666666666664</v>
      </c>
      <c r="F19" s="271">
        <v>26.77</v>
      </c>
      <c r="G19" s="271">
        <v>26.64</v>
      </c>
      <c r="H19" s="271">
        <v>26.89</v>
      </c>
      <c r="I19" s="271">
        <v>26.72</v>
      </c>
      <c r="J19" s="271">
        <v>26.72</v>
      </c>
      <c r="K19" s="271">
        <v>27</v>
      </c>
      <c r="L19" s="271">
        <v>27.13</v>
      </c>
      <c r="M19" s="271">
        <v>26.79</v>
      </c>
      <c r="N19" s="271">
        <v>26.45</v>
      </c>
      <c r="O19" s="271">
        <v>26.84</v>
      </c>
      <c r="P19" s="271">
        <v>26.6</v>
      </c>
      <c r="Q19" s="271">
        <v>26.62</v>
      </c>
      <c r="R19" s="271">
        <v>26.33</v>
      </c>
      <c r="S19" s="271">
        <v>26.57</v>
      </c>
      <c r="T19" s="271">
        <v>26.74</v>
      </c>
      <c r="U19" s="271">
        <v>26.8</v>
      </c>
      <c r="V19" s="271">
        <v>27.38</v>
      </c>
      <c r="W19" s="272">
        <v>27.83</v>
      </c>
      <c r="X19" s="271">
        <v>27.36</v>
      </c>
      <c r="Y19" s="271">
        <v>27.29</v>
      </c>
      <c r="Z19" s="273">
        <f ca="1">[1]ExtEntry!$F17</f>
        <v>27.29</v>
      </c>
      <c r="AA19" s="291"/>
      <c r="AB19" s="404">
        <v>6000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45912.847226793747</v>
      </c>
      <c r="F20" s="271">
        <v>134.69</v>
      </c>
      <c r="G20" s="271">
        <v>134.38999999999999</v>
      </c>
      <c r="H20" s="271">
        <v>135.38</v>
      </c>
      <c r="I20" s="271">
        <v>133.25</v>
      </c>
      <c r="J20" s="271">
        <v>133.25</v>
      </c>
      <c r="K20" s="271">
        <v>136.68</v>
      </c>
      <c r="L20" s="271">
        <v>140.36000000000001</v>
      </c>
      <c r="M20" s="271">
        <v>137.33000000000001</v>
      </c>
      <c r="N20" s="271">
        <v>138.68</v>
      </c>
      <c r="O20" s="271">
        <v>137.56</v>
      </c>
      <c r="P20" s="271">
        <v>136.03</v>
      </c>
      <c r="Q20" s="271">
        <v>137.76</v>
      </c>
      <c r="R20" s="271">
        <v>136.94999999999999</v>
      </c>
      <c r="S20" s="271">
        <v>136.94999999999999</v>
      </c>
      <c r="T20" s="271">
        <v>135.97</v>
      </c>
      <c r="U20" s="271">
        <v>137.87</v>
      </c>
      <c r="V20" s="271">
        <v>134.51</v>
      </c>
      <c r="W20" s="272">
        <v>136.71</v>
      </c>
      <c r="X20" s="271">
        <v>132.26</v>
      </c>
      <c r="Y20" s="271">
        <v>133.24</v>
      </c>
      <c r="Z20" s="273">
        <f ca="1">[1]ExtEntry!$F18</f>
        <v>133.24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45912.852418390627</v>
      </c>
      <c r="F21" s="271">
        <v>13.89</v>
      </c>
      <c r="G21" s="271">
        <v>13.78</v>
      </c>
      <c r="H21" s="271">
        <v>13.71</v>
      </c>
      <c r="I21" s="271">
        <v>13.92</v>
      </c>
      <c r="J21" s="271">
        <v>13.92</v>
      </c>
      <c r="K21" s="271">
        <v>13.97</v>
      </c>
      <c r="L21" s="271">
        <v>14.25</v>
      </c>
      <c r="M21" s="271">
        <v>14.09</v>
      </c>
      <c r="N21" s="271">
        <v>14.15</v>
      </c>
      <c r="O21" s="271">
        <v>14.31</v>
      </c>
      <c r="P21" s="271">
        <v>14.19</v>
      </c>
      <c r="Q21" s="271">
        <v>14.45</v>
      </c>
      <c r="R21" s="271">
        <v>14.33</v>
      </c>
      <c r="S21" s="271">
        <v>14.33</v>
      </c>
      <c r="T21" s="271">
        <v>14.5</v>
      </c>
      <c r="U21" s="271">
        <v>14.79</v>
      </c>
      <c r="V21" s="271">
        <v>14.65</v>
      </c>
      <c r="W21" s="272">
        <v>14.43</v>
      </c>
      <c r="X21" s="271">
        <v>14.22</v>
      </c>
      <c r="Y21" s="271">
        <v>14.55</v>
      </c>
      <c r="Z21" s="273">
        <f ca="1">[1]ExtEntry!$F19</f>
        <v>14.55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45912.770833333336</v>
      </c>
      <c r="F22" s="271">
        <v>16</v>
      </c>
      <c r="G22" s="271">
        <v>15.984999999999999</v>
      </c>
      <c r="H22" s="271">
        <v>15.785</v>
      </c>
      <c r="I22" s="271">
        <v>15.765000000000001</v>
      </c>
      <c r="J22" s="271">
        <v>15.765000000000001</v>
      </c>
      <c r="K22" s="271">
        <v>15.695</v>
      </c>
      <c r="L22" s="271">
        <v>15.445</v>
      </c>
      <c r="M22" s="271">
        <v>15.414999999999999</v>
      </c>
      <c r="N22" s="271">
        <v>15.57</v>
      </c>
      <c r="O22" s="271">
        <v>15.675000000000001</v>
      </c>
      <c r="P22" s="271">
        <v>15.244999999999999</v>
      </c>
      <c r="Q22" s="271">
        <v>15.06</v>
      </c>
      <c r="R22" s="271">
        <v>14.715</v>
      </c>
      <c r="S22" s="271">
        <v>14.84</v>
      </c>
      <c r="T22" s="271">
        <v>14.925000000000001</v>
      </c>
      <c r="U22" s="271">
        <v>15.175000000000001</v>
      </c>
      <c r="V22" s="271">
        <v>15.345000000000001</v>
      </c>
      <c r="W22" s="272">
        <v>15.305</v>
      </c>
      <c r="X22" s="271">
        <v>15.33</v>
      </c>
      <c r="Y22" s="271">
        <v>15.295</v>
      </c>
      <c r="Z22" s="273">
        <f ca="1">[1]ExtEntry!$F20</f>
        <v>15.295</v>
      </c>
      <c r="AA22" s="291"/>
      <c r="AB22" s="404">
        <v>5000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10000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6250</v>
      </c>
      <c r="AV22" s="404">
        <f ca="1">Calc!G20</f>
        <v>6250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45912.854553390622</v>
      </c>
      <c r="F23" s="271">
        <v>1.92</v>
      </c>
      <c r="G23" s="271">
        <v>1.92</v>
      </c>
      <c r="H23" s="271">
        <v>1.93</v>
      </c>
      <c r="I23" s="271">
        <v>1.91</v>
      </c>
      <c r="J23" s="271">
        <v>1.91</v>
      </c>
      <c r="K23" s="271">
        <v>1.91</v>
      </c>
      <c r="L23" s="271">
        <v>0.23899999999999999</v>
      </c>
      <c r="M23" s="271">
        <v>0.78259999999999996</v>
      </c>
      <c r="N23" s="271">
        <v>0.2631</v>
      </c>
      <c r="O23" s="271">
        <v>0.24560000000000001</v>
      </c>
      <c r="P23" s="271">
        <v>0.23499999999999999</v>
      </c>
      <c r="Q23" s="271">
        <v>0.24</v>
      </c>
      <c r="R23" s="271">
        <v>0.23880000000000001</v>
      </c>
      <c r="S23" s="271">
        <v>0.23880000000000001</v>
      </c>
      <c r="T23" s="271">
        <v>0.23649999999999999</v>
      </c>
      <c r="U23" s="271">
        <v>0.2329</v>
      </c>
      <c r="V23" s="271">
        <v>0.2369</v>
      </c>
      <c r="W23" s="272">
        <v>0.24</v>
      </c>
      <c r="X23" s="271">
        <v>0.20499999999999999</v>
      </c>
      <c r="Y23" s="271">
        <v>0.20549999999999999</v>
      </c>
      <c r="Z23" s="273">
        <f ca="1">[1]ExtEntry!$F21</f>
        <v>0.20549999999999999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45912.855596388283</v>
      </c>
      <c r="F24" s="271">
        <v>55.58</v>
      </c>
      <c r="G24" s="271">
        <v>56.42</v>
      </c>
      <c r="H24" s="271">
        <v>56.31</v>
      </c>
      <c r="I24" s="271">
        <v>56.23</v>
      </c>
      <c r="J24" s="271">
        <v>56.23</v>
      </c>
      <c r="K24" s="271">
        <v>57.06</v>
      </c>
      <c r="L24" s="271">
        <v>58.37</v>
      </c>
      <c r="M24" s="271">
        <v>58.28</v>
      </c>
      <c r="N24" s="271">
        <v>58.8</v>
      </c>
      <c r="O24" s="271">
        <v>58.75</v>
      </c>
      <c r="P24" s="271">
        <v>58.49</v>
      </c>
      <c r="Q24" s="271">
        <v>58.59</v>
      </c>
      <c r="R24" s="271">
        <v>58.53</v>
      </c>
      <c r="S24" s="271">
        <v>58.53</v>
      </c>
      <c r="T24" s="271">
        <v>57.75</v>
      </c>
      <c r="U24" s="271">
        <v>58.27</v>
      </c>
      <c r="V24" s="271">
        <v>58.2</v>
      </c>
      <c r="W24" s="272">
        <v>58.01</v>
      </c>
      <c r="X24" s="271">
        <v>57.34</v>
      </c>
      <c r="Y24" s="271">
        <v>58.71</v>
      </c>
      <c r="Z24" s="273">
        <f ca="1">[1]ExtEntry!$F22</f>
        <v>58.71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45912.856579258594</v>
      </c>
      <c r="F25" s="271">
        <v>21.56</v>
      </c>
      <c r="G25" s="271">
        <v>21.32</v>
      </c>
      <c r="H25" s="271">
        <v>21.16</v>
      </c>
      <c r="I25" s="271">
        <v>21.63</v>
      </c>
      <c r="J25" s="271">
        <v>21.63</v>
      </c>
      <c r="K25" s="271">
        <v>21.34</v>
      </c>
      <c r="L25" s="271">
        <v>22.45</v>
      </c>
      <c r="M25" s="271">
        <v>22.56</v>
      </c>
      <c r="N25" s="271">
        <v>22.5</v>
      </c>
      <c r="O25" s="271">
        <v>22.73</v>
      </c>
      <c r="P25" s="271">
        <v>23.16</v>
      </c>
      <c r="Q25" s="271">
        <v>22.57</v>
      </c>
      <c r="R25" s="271">
        <v>22.68</v>
      </c>
      <c r="S25" s="271">
        <v>22.68</v>
      </c>
      <c r="T25" s="271">
        <v>22.82</v>
      </c>
      <c r="U25" s="271">
        <v>23.52</v>
      </c>
      <c r="V25" s="271">
        <v>23.5</v>
      </c>
      <c r="W25" s="272">
        <v>23.88</v>
      </c>
      <c r="X25" s="271">
        <v>24.44</v>
      </c>
      <c r="Y25" s="271">
        <v>24.86</v>
      </c>
      <c r="Z25" s="273">
        <f ca="1">[1]ExtEntry!$F23</f>
        <v>24.86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12000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45912.855575103909</v>
      </c>
      <c r="F26" s="271">
        <v>27.14</v>
      </c>
      <c r="G26" s="271">
        <v>26.93</v>
      </c>
      <c r="H26" s="271">
        <v>26.74</v>
      </c>
      <c r="I26" s="271">
        <v>26.83</v>
      </c>
      <c r="J26" s="271">
        <v>26.83</v>
      </c>
      <c r="K26" s="271">
        <v>27</v>
      </c>
      <c r="L26" s="271">
        <v>27.74</v>
      </c>
      <c r="M26" s="271">
        <v>27.5</v>
      </c>
      <c r="N26" s="271">
        <v>27.01</v>
      </c>
      <c r="O26" s="271">
        <v>27.11</v>
      </c>
      <c r="P26" s="271">
        <v>28.35</v>
      </c>
      <c r="Q26" s="271">
        <v>28.54</v>
      </c>
      <c r="R26" s="271">
        <v>28.94</v>
      </c>
      <c r="S26" s="271">
        <v>28.94</v>
      </c>
      <c r="T26" s="271">
        <v>28.7</v>
      </c>
      <c r="U26" s="271">
        <v>29.34</v>
      </c>
      <c r="V26" s="271">
        <v>29.35</v>
      </c>
      <c r="W26" s="272">
        <v>28.751000000000001</v>
      </c>
      <c r="X26" s="271">
        <v>28.37</v>
      </c>
      <c r="Y26" s="271">
        <v>28.34</v>
      </c>
      <c r="Z26" s="273">
        <f ca="1">[1]ExtEntry!$F24</f>
        <v>28.34</v>
      </c>
      <c r="AA26" s="291"/>
      <c r="AB26" s="404">
        <v>5000</v>
      </c>
      <c r="AC26" s="404">
        <v>5000</v>
      </c>
      <c r="AD26" s="404">
        <v>5000</v>
      </c>
      <c r="AE26" s="404">
        <v>1000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45912.644570450779</v>
      </c>
      <c r="F27" s="271">
        <v>384.4</v>
      </c>
      <c r="G27" s="271">
        <v>384</v>
      </c>
      <c r="H27" s="271">
        <v>387.5</v>
      </c>
      <c r="I27" s="271">
        <v>390</v>
      </c>
      <c r="J27" s="271">
        <v>390</v>
      </c>
      <c r="K27" s="271">
        <v>393.9</v>
      </c>
      <c r="L27" s="271">
        <v>385.8</v>
      </c>
      <c r="M27" s="271">
        <v>394.6</v>
      </c>
      <c r="N27" s="271">
        <v>392.6</v>
      </c>
      <c r="O27" s="271">
        <v>384.6</v>
      </c>
      <c r="P27" s="271">
        <v>382.1</v>
      </c>
      <c r="Q27" s="271">
        <v>393.6</v>
      </c>
      <c r="R27" s="271">
        <v>380.8</v>
      </c>
      <c r="S27" s="271">
        <v>391</v>
      </c>
      <c r="T27" s="271">
        <v>390</v>
      </c>
      <c r="U27" s="271">
        <v>390.7</v>
      </c>
      <c r="V27" s="271">
        <v>394.2</v>
      </c>
      <c r="W27" s="272">
        <v>397.9</v>
      </c>
      <c r="X27" s="271">
        <v>381.7</v>
      </c>
      <c r="Y27" s="271">
        <v>382.3</v>
      </c>
      <c r="Z27" s="273">
        <f ca="1">[1]ExtEntry!$F25</f>
        <v>382.3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45912.85568359922</v>
      </c>
      <c r="F28" s="271">
        <v>70.33</v>
      </c>
      <c r="G28" s="271">
        <v>68.88</v>
      </c>
      <c r="H28" s="271">
        <v>69.69</v>
      </c>
      <c r="I28" s="271">
        <v>69.739999999999995</v>
      </c>
      <c r="J28" s="271">
        <v>69.739999999999995</v>
      </c>
      <c r="K28" s="271">
        <v>70.72</v>
      </c>
      <c r="L28" s="271">
        <v>69.56</v>
      </c>
      <c r="M28" s="271">
        <v>70.14</v>
      </c>
      <c r="N28" s="271">
        <v>68.989999999999995</v>
      </c>
      <c r="O28" s="271">
        <v>67.98</v>
      </c>
      <c r="P28" s="271">
        <v>67.459999999999994</v>
      </c>
      <c r="Q28" s="271">
        <v>67.84</v>
      </c>
      <c r="R28" s="271">
        <v>68.64</v>
      </c>
      <c r="S28" s="271">
        <v>68.64</v>
      </c>
      <c r="T28" s="271">
        <v>68.2</v>
      </c>
      <c r="U28" s="271">
        <v>67.75</v>
      </c>
      <c r="V28" s="271">
        <v>68</v>
      </c>
      <c r="W28" s="272">
        <v>67.63</v>
      </c>
      <c r="X28" s="271">
        <v>67.03</v>
      </c>
      <c r="Y28" s="271">
        <v>67.23</v>
      </c>
      <c r="Z28" s="273">
        <f ca="1">[1]ExtEntry!$F26</f>
        <v>67.23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2660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45912.840322615622</v>
      </c>
      <c r="F29" s="271">
        <v>12.76</v>
      </c>
      <c r="G29" s="271">
        <v>12.5</v>
      </c>
      <c r="H29" s="271">
        <v>12.65</v>
      </c>
      <c r="I29" s="271">
        <v>12.75</v>
      </c>
      <c r="J29" s="271">
        <v>12.75</v>
      </c>
      <c r="K29" s="271">
        <v>12.5</v>
      </c>
      <c r="L29" s="271">
        <v>12.9</v>
      </c>
      <c r="M29" s="271">
        <v>12.66</v>
      </c>
      <c r="N29" s="271">
        <v>12.59</v>
      </c>
      <c r="O29" s="271">
        <v>12.19</v>
      </c>
      <c r="P29" s="271">
        <v>12.15</v>
      </c>
      <c r="Q29" s="271">
        <v>12.28</v>
      </c>
      <c r="R29" s="271">
        <v>12.35</v>
      </c>
      <c r="S29" s="271">
        <v>12.35</v>
      </c>
      <c r="T29" s="271">
        <v>12.04</v>
      </c>
      <c r="U29" s="271">
        <v>12.17</v>
      </c>
      <c r="V29" s="271">
        <v>12.34</v>
      </c>
      <c r="W29" s="272">
        <v>12.2</v>
      </c>
      <c r="X29" s="271">
        <v>12.13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45912.856180126561</v>
      </c>
      <c r="F30" s="271">
        <v>4.3099999999999996</v>
      </c>
      <c r="G30" s="271">
        <v>4.34</v>
      </c>
      <c r="H30" s="271">
        <v>4.43</v>
      </c>
      <c r="I30" s="271">
        <v>4.6900000000000004</v>
      </c>
      <c r="J30" s="271">
        <v>4.6900000000000004</v>
      </c>
      <c r="K30" s="271">
        <v>4.59</v>
      </c>
      <c r="L30" s="271">
        <v>4.6100000000000003</v>
      </c>
      <c r="M30" s="271">
        <v>4.6900000000000004</v>
      </c>
      <c r="N30" s="271">
        <v>4.6900000000000004</v>
      </c>
      <c r="O30" s="271">
        <v>5.27</v>
      </c>
      <c r="P30" s="271">
        <v>5.0199999999999996</v>
      </c>
      <c r="Q30" s="271">
        <v>4.97</v>
      </c>
      <c r="R30" s="271">
        <v>4.79</v>
      </c>
      <c r="S30" s="271">
        <v>4.79</v>
      </c>
      <c r="T30" s="271">
        <v>4.72</v>
      </c>
      <c r="U30" s="271">
        <v>4.75</v>
      </c>
      <c r="V30" s="271">
        <v>5.12</v>
      </c>
      <c r="W30" s="272">
        <v>5.63</v>
      </c>
      <c r="X30" s="271">
        <v>6.14</v>
      </c>
      <c r="Y30" s="271">
        <v>6.09</v>
      </c>
      <c r="Z30" s="273">
        <f ca="1">[1]ExtEntry!$F28</f>
        <v>6.09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45912.856650265625</v>
      </c>
      <c r="F31" s="271">
        <v>26.89</v>
      </c>
      <c r="G31" s="271">
        <v>26.69</v>
      </c>
      <c r="H31" s="271">
        <v>28.02</v>
      </c>
      <c r="I31" s="271">
        <v>28.09</v>
      </c>
      <c r="J31" s="271">
        <v>28.09</v>
      </c>
      <c r="K31" s="271">
        <v>27.91</v>
      </c>
      <c r="L31" s="271">
        <v>27.12</v>
      </c>
      <c r="M31" s="271">
        <v>25.35</v>
      </c>
      <c r="N31" s="271">
        <v>24.73</v>
      </c>
      <c r="O31" s="271">
        <v>25.1</v>
      </c>
      <c r="P31" s="271">
        <v>24.47</v>
      </c>
      <c r="Q31" s="271">
        <v>24.09</v>
      </c>
      <c r="R31" s="271">
        <v>24.19</v>
      </c>
      <c r="S31" s="271">
        <v>24.19</v>
      </c>
      <c r="T31" s="271">
        <v>24.05</v>
      </c>
      <c r="U31" s="271">
        <v>25.14</v>
      </c>
      <c r="V31" s="271">
        <v>24.83</v>
      </c>
      <c r="W31" s="272">
        <v>24.47</v>
      </c>
      <c r="X31" s="271">
        <v>24.31</v>
      </c>
      <c r="Y31" s="271">
        <v>25.39</v>
      </c>
      <c r="Z31" s="273">
        <f ca="1">[1]ExtEntry!$F29</f>
        <v>25.39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45912.856600346873</v>
      </c>
      <c r="F32" s="271">
        <v>520.58000000000004</v>
      </c>
      <c r="G32" s="271">
        <v>522.48</v>
      </c>
      <c r="H32" s="271">
        <v>520.16999999999996</v>
      </c>
      <c r="I32" s="271">
        <v>517.1</v>
      </c>
      <c r="J32" s="271">
        <v>517.1</v>
      </c>
      <c r="K32" s="271">
        <v>509.77</v>
      </c>
      <c r="L32" s="271">
        <v>507.23</v>
      </c>
      <c r="M32" s="271">
        <v>504.26</v>
      </c>
      <c r="N32" s="271">
        <v>502.04</v>
      </c>
      <c r="O32" s="271">
        <v>506.74</v>
      </c>
      <c r="P32" s="271">
        <v>509.64</v>
      </c>
      <c r="Q32" s="271">
        <v>506.69</v>
      </c>
      <c r="R32" s="271">
        <v>505.12</v>
      </c>
      <c r="S32" s="271">
        <v>505.12</v>
      </c>
      <c r="T32" s="271">
        <v>505.35</v>
      </c>
      <c r="U32" s="271">
        <v>495</v>
      </c>
      <c r="V32" s="271">
        <v>498.2</v>
      </c>
      <c r="W32" s="272">
        <v>498.41</v>
      </c>
      <c r="X32" s="271">
        <v>500.37</v>
      </c>
      <c r="Y32" s="271">
        <v>501.01</v>
      </c>
      <c r="Z32" s="273">
        <f ca="1">[1]ExtEntry!$F30</f>
        <v>501.01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45912.850109397659</v>
      </c>
      <c r="F33" s="271">
        <v>72.3</v>
      </c>
      <c r="G33" s="271">
        <v>72.239999999999995</v>
      </c>
      <c r="H33" s="271">
        <v>75.41</v>
      </c>
      <c r="I33" s="271">
        <v>75.72</v>
      </c>
      <c r="J33" s="271">
        <v>75.72</v>
      </c>
      <c r="K33" s="271">
        <v>76.510000000000005</v>
      </c>
      <c r="L33" s="271">
        <v>76.319999999999993</v>
      </c>
      <c r="M33" s="271">
        <v>75.319999999999993</v>
      </c>
      <c r="N33" s="271">
        <v>74.84</v>
      </c>
      <c r="O33" s="271">
        <v>73.323499999999996</v>
      </c>
      <c r="P33" s="271">
        <v>72.09</v>
      </c>
      <c r="Q33" s="271">
        <v>72.05</v>
      </c>
      <c r="R33" s="271">
        <v>72.650000000000006</v>
      </c>
      <c r="S33" s="271">
        <v>72.650000000000006</v>
      </c>
      <c r="T33" s="271">
        <v>71.63</v>
      </c>
      <c r="U33" s="271">
        <v>70.900000000000006</v>
      </c>
      <c r="V33" s="271">
        <v>69.77</v>
      </c>
      <c r="W33" s="272">
        <v>70.069999999999993</v>
      </c>
      <c r="X33" s="271">
        <v>71.040000000000006</v>
      </c>
      <c r="Y33" s="271">
        <v>71.319999999999993</v>
      </c>
      <c r="Z33" s="273">
        <f ca="1">[1]ExtEntry!$F31</f>
        <v>71.319999999999993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3200</v>
      </c>
      <c r="AI33" s="404">
        <v>3200</v>
      </c>
      <c r="AJ33" s="404">
        <v>3200</v>
      </c>
      <c r="AK33" s="404">
        <v>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4200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45912.85604607578</v>
      </c>
      <c r="F34" s="271">
        <v>68.56</v>
      </c>
      <c r="G34" s="271">
        <v>68.48</v>
      </c>
      <c r="H34" s="271">
        <v>69.33</v>
      </c>
      <c r="I34" s="271">
        <v>69</v>
      </c>
      <c r="J34" s="271">
        <v>69</v>
      </c>
      <c r="K34" s="271">
        <v>67.38</v>
      </c>
      <c r="L34" s="271">
        <v>70.77</v>
      </c>
      <c r="M34" s="271">
        <v>71.099999999999994</v>
      </c>
      <c r="N34" s="271">
        <v>72.430000000000007</v>
      </c>
      <c r="O34" s="271">
        <v>72.39</v>
      </c>
      <c r="P34" s="271">
        <v>72.97</v>
      </c>
      <c r="Q34" s="271">
        <v>74.400000000000006</v>
      </c>
      <c r="R34" s="271">
        <v>75.86</v>
      </c>
      <c r="S34" s="271">
        <v>75.86</v>
      </c>
      <c r="T34" s="271">
        <v>75.17</v>
      </c>
      <c r="U34" s="271">
        <v>76.17</v>
      </c>
      <c r="V34" s="271">
        <v>75.75</v>
      </c>
      <c r="W34" s="272">
        <v>75.92</v>
      </c>
      <c r="X34" s="271">
        <v>78.430000000000007</v>
      </c>
      <c r="Y34" s="271">
        <v>79.650000000000006</v>
      </c>
      <c r="Z34" s="273">
        <f ca="1">[1]ExtEntry!$F32</f>
        <v>79.650000000000006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16200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14200</v>
      </c>
      <c r="AV34" s="404">
        <f ca="1">Calc!G32</f>
        <v>14200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45912.856344988279</v>
      </c>
      <c r="F35" s="271">
        <v>1204.44</v>
      </c>
      <c r="G35" s="271">
        <v>1230.56</v>
      </c>
      <c r="H35" s="271">
        <v>1238.95</v>
      </c>
      <c r="I35" s="271">
        <v>1245.0899999999999</v>
      </c>
      <c r="J35" s="271">
        <v>1245.0899999999999</v>
      </c>
      <c r="K35" s="271">
        <v>1214.1500000000001</v>
      </c>
      <c r="L35" s="271">
        <v>1204.6500000000001</v>
      </c>
      <c r="M35" s="271">
        <v>1218.07</v>
      </c>
      <c r="N35" s="271">
        <v>1226.0899999999999</v>
      </c>
      <c r="O35" s="271">
        <v>1223.5</v>
      </c>
      <c r="P35" s="271">
        <v>1231.45</v>
      </c>
      <c r="Q35" s="271">
        <v>1208.25</v>
      </c>
      <c r="R35" s="271">
        <v>1214.1099999999999</v>
      </c>
      <c r="S35" s="271">
        <v>1214.1099999999999</v>
      </c>
      <c r="T35" s="271">
        <v>1226.18</v>
      </c>
      <c r="U35" s="271">
        <v>1243.82</v>
      </c>
      <c r="V35" s="271">
        <v>1244.76</v>
      </c>
      <c r="W35" s="272">
        <v>1263.25</v>
      </c>
      <c r="X35" s="271">
        <v>1247.71</v>
      </c>
      <c r="Y35" s="271">
        <v>1203.5</v>
      </c>
      <c r="Z35" s="273">
        <f ca="1">[1]ExtEntry!$F33</f>
        <v>1203.5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45912.852243657035</v>
      </c>
      <c r="F36" s="271">
        <v>0.54449999999999998</v>
      </c>
      <c r="G36" s="271">
        <v>0.53820000000000001</v>
      </c>
      <c r="H36" s="271">
        <v>0.52200000000000002</v>
      </c>
      <c r="I36" s="271">
        <v>0.51739999999999997</v>
      </c>
      <c r="J36" s="271">
        <v>0.51739999999999997</v>
      </c>
      <c r="K36" s="271">
        <v>0.50790000000000002</v>
      </c>
      <c r="L36" s="271">
        <v>0.51429999999999998</v>
      </c>
      <c r="M36" s="271">
        <v>0.433</v>
      </c>
      <c r="N36" s="271">
        <v>0.42009999999999997</v>
      </c>
      <c r="O36" s="271">
        <v>0.43109999999999998</v>
      </c>
      <c r="P36" s="271">
        <v>0.42099999999999999</v>
      </c>
      <c r="Q36" s="271">
        <v>5.0975999999999999</v>
      </c>
      <c r="R36" s="271">
        <v>5.07</v>
      </c>
      <c r="S36" s="271">
        <v>5.07</v>
      </c>
      <c r="T36" s="271">
        <v>4.6100000000000003</v>
      </c>
      <c r="U36" s="271">
        <v>4.09</v>
      </c>
      <c r="V36" s="271">
        <v>4.45</v>
      </c>
      <c r="W36" s="272">
        <v>4.7300000000000004</v>
      </c>
      <c r="X36" s="271">
        <v>5.08</v>
      </c>
      <c r="Y36" s="271">
        <v>5.0999999999999996</v>
      </c>
      <c r="Z36" s="273">
        <f ca="1">[1]ExtEntry!$F34</f>
        <v>5.0999999999999996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320000</v>
      </c>
      <c r="AK36" s="404">
        <v>320000</v>
      </c>
      <c r="AL36" s="404">
        <v>320000</v>
      </c>
      <c r="AM36" s="404">
        <v>26667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45912.855599189061</v>
      </c>
      <c r="F37" s="271">
        <v>31.66</v>
      </c>
      <c r="G37" s="271">
        <v>31.41</v>
      </c>
      <c r="H37" s="271">
        <v>31.62</v>
      </c>
      <c r="I37" s="271">
        <v>31.69</v>
      </c>
      <c r="J37" s="271">
        <v>31.69</v>
      </c>
      <c r="K37" s="271">
        <v>30.64</v>
      </c>
      <c r="L37" s="271">
        <v>32.64</v>
      </c>
      <c r="M37" s="271">
        <v>32.51</v>
      </c>
      <c r="N37" s="271">
        <v>33.11</v>
      </c>
      <c r="O37" s="271">
        <v>33</v>
      </c>
      <c r="P37" s="271">
        <v>32.93</v>
      </c>
      <c r="Q37" s="271">
        <v>33.92</v>
      </c>
      <c r="R37" s="271">
        <v>34.299999999999997</v>
      </c>
      <c r="S37" s="271">
        <v>34.299999999999997</v>
      </c>
      <c r="T37" s="271">
        <v>34.04</v>
      </c>
      <c r="U37" s="271">
        <v>34.6</v>
      </c>
      <c r="V37" s="271">
        <v>35.75</v>
      </c>
      <c r="W37" s="272">
        <v>35.4</v>
      </c>
      <c r="X37" s="271">
        <v>36.24</v>
      </c>
      <c r="Y37" s="271">
        <v>36.82</v>
      </c>
      <c r="Z37" s="273">
        <f ca="1">[1]ExtEntry!$F35</f>
        <v>36.82</v>
      </c>
      <c r="AA37" s="291"/>
      <c r="AB37" s="404">
        <v>8000</v>
      </c>
      <c r="AC37" s="404">
        <v>8000</v>
      </c>
      <c r="AD37" s="404">
        <v>8000</v>
      </c>
      <c r="AE37" s="404">
        <v>5000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4000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45912.840323101562</v>
      </c>
      <c r="F38" s="271">
        <v>5.45</v>
      </c>
      <c r="G38" s="271">
        <v>5.54</v>
      </c>
      <c r="H38" s="271">
        <v>4.25</v>
      </c>
      <c r="I38" s="271">
        <v>4.75</v>
      </c>
      <c r="J38" s="271">
        <v>4.75</v>
      </c>
      <c r="K38" s="271">
        <v>4.58</v>
      </c>
      <c r="L38" s="271">
        <v>4.74</v>
      </c>
      <c r="M38" s="271">
        <v>4.67</v>
      </c>
      <c r="N38" s="271">
        <v>4.5049999999999999</v>
      </c>
      <c r="O38" s="271">
        <v>4.5199999999999996</v>
      </c>
      <c r="P38" s="271">
        <v>4.53</v>
      </c>
      <c r="Q38" s="271">
        <v>4.46</v>
      </c>
      <c r="R38" s="271">
        <v>4.5</v>
      </c>
      <c r="S38" s="271">
        <v>4.5</v>
      </c>
      <c r="T38" s="271">
        <v>4.3600000000000003</v>
      </c>
      <c r="U38" s="271">
        <v>4.12</v>
      </c>
      <c r="V38" s="271">
        <v>4.1100000000000003</v>
      </c>
      <c r="W38" s="272">
        <v>4.08</v>
      </c>
      <c r="X38" s="271">
        <v>3.87</v>
      </c>
      <c r="Y38" s="271">
        <v>3.96</v>
      </c>
      <c r="Z38" s="273">
        <f ca="1">[1]ExtEntry!$F36</f>
        <v>3.96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45912.850374039066</v>
      </c>
      <c r="F39" s="271">
        <v>5.22</v>
      </c>
      <c r="G39" s="271">
        <v>5.09</v>
      </c>
      <c r="H39" s="271">
        <v>5.04</v>
      </c>
      <c r="I39" s="271">
        <v>5.0599999999999996</v>
      </c>
      <c r="J39" s="271">
        <v>5.0599999999999996</v>
      </c>
      <c r="K39" s="271">
        <v>4.9000000000000004</v>
      </c>
      <c r="L39" s="271">
        <v>5.34</v>
      </c>
      <c r="M39" s="271">
        <v>5.35</v>
      </c>
      <c r="N39" s="271">
        <v>5.42</v>
      </c>
      <c r="O39" s="271">
        <v>5.38</v>
      </c>
      <c r="P39" s="271">
        <v>5.65</v>
      </c>
      <c r="Q39" s="271">
        <v>5.36</v>
      </c>
      <c r="R39" s="271">
        <v>5.3</v>
      </c>
      <c r="S39" s="271">
        <v>5.3</v>
      </c>
      <c r="T39" s="271">
        <v>5.12</v>
      </c>
      <c r="U39" s="271">
        <v>5.28</v>
      </c>
      <c r="V39" s="271">
        <v>5.35</v>
      </c>
      <c r="W39" s="272">
        <v>5.33</v>
      </c>
      <c r="X39" s="271">
        <v>5.6</v>
      </c>
      <c r="Y39" s="271">
        <v>5.33</v>
      </c>
      <c r="Z39" s="273">
        <f ca="1">[1]ExtEntry!$F37</f>
        <v>5.33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45912.852814258593</v>
      </c>
      <c r="F40" s="271">
        <v>1.57</v>
      </c>
      <c r="G40" s="271">
        <v>1.65</v>
      </c>
      <c r="H40" s="271">
        <v>1.2</v>
      </c>
      <c r="I40" s="271">
        <v>1.3278000000000001</v>
      </c>
      <c r="J40" s="271">
        <v>1.3278000000000001</v>
      </c>
      <c r="K40" s="271">
        <v>1.33</v>
      </c>
      <c r="L40" s="271">
        <v>1.5099</v>
      </c>
      <c r="M40" s="271">
        <v>1.45</v>
      </c>
      <c r="N40" s="271">
        <v>1.46</v>
      </c>
      <c r="O40" s="271">
        <v>1.63</v>
      </c>
      <c r="P40" s="271">
        <v>1.175</v>
      </c>
      <c r="Q40" s="271">
        <v>1.1499999999999999</v>
      </c>
      <c r="R40" s="271">
        <v>1.04</v>
      </c>
      <c r="S40" s="271">
        <v>1.04</v>
      </c>
      <c r="T40" s="271">
        <v>0.95340000000000003</v>
      </c>
      <c r="U40" s="271">
        <v>1</v>
      </c>
      <c r="V40" s="271">
        <v>0.98</v>
      </c>
      <c r="W40" s="272">
        <v>0.96009999999999995</v>
      </c>
      <c r="X40" s="271">
        <v>0.99</v>
      </c>
      <c r="Y40" s="271">
        <v>1.02</v>
      </c>
      <c r="Z40" s="273">
        <f ca="1">[1]ExtEntry!$F38</f>
        <v>1.02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45912.840323228906</v>
      </c>
      <c r="F41" s="271">
        <v>36.58</v>
      </c>
      <c r="G41" s="271">
        <v>37.89</v>
      </c>
      <c r="H41" s="271">
        <v>39.51</v>
      </c>
      <c r="I41" s="271">
        <v>40.07</v>
      </c>
      <c r="J41" s="271">
        <v>40.07</v>
      </c>
      <c r="K41" s="271">
        <v>38.94</v>
      </c>
      <c r="L41" s="271">
        <v>41.5</v>
      </c>
      <c r="M41" s="271">
        <v>40.74</v>
      </c>
      <c r="N41" s="271">
        <v>41.62</v>
      </c>
      <c r="O41" s="271">
        <v>39.729999999999997</v>
      </c>
      <c r="P41" s="271">
        <v>39.31</v>
      </c>
      <c r="Q41" s="271">
        <v>38.85</v>
      </c>
      <c r="R41" s="271">
        <v>38.46</v>
      </c>
      <c r="S41" s="271">
        <v>38.46</v>
      </c>
      <c r="T41" s="271">
        <v>39.61</v>
      </c>
      <c r="U41" s="271">
        <v>41.34</v>
      </c>
      <c r="V41" s="271">
        <v>40.869999999999997</v>
      </c>
      <c r="W41" s="272">
        <v>35.93</v>
      </c>
      <c r="X41" s="271">
        <v>36.479999999999997</v>
      </c>
      <c r="Y41" s="271">
        <v>37.82</v>
      </c>
      <c r="Z41" s="273">
        <f ca="1">[1]ExtEntry!$F39</f>
        <v>37.82</v>
      </c>
      <c r="AA41" s="291"/>
      <c r="AB41" s="404">
        <v>6000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5000</v>
      </c>
      <c r="AI41" s="404">
        <v>5000</v>
      </c>
      <c r="AJ41" s="404">
        <v>5000</v>
      </c>
      <c r="AK41" s="404">
        <v>3000</v>
      </c>
      <c r="AL41" s="404">
        <v>2000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45912.770833333336</v>
      </c>
      <c r="F42" s="271">
        <v>35.47</v>
      </c>
      <c r="G42" s="271">
        <v>34.58</v>
      </c>
      <c r="H42" s="271">
        <v>34.83</v>
      </c>
      <c r="I42" s="271">
        <v>35.19</v>
      </c>
      <c r="J42" s="271">
        <v>35.19</v>
      </c>
      <c r="K42" s="271">
        <v>35.26</v>
      </c>
      <c r="L42" s="271">
        <v>35.72</v>
      </c>
      <c r="M42" s="271">
        <v>35.35</v>
      </c>
      <c r="N42" s="271">
        <v>35</v>
      </c>
      <c r="O42" s="271">
        <v>34.92</v>
      </c>
      <c r="P42" s="271">
        <v>34.24</v>
      </c>
      <c r="Q42" s="271">
        <v>34.340000000000003</v>
      </c>
      <c r="R42" s="271">
        <v>33.93</v>
      </c>
      <c r="S42" s="271">
        <v>33.979999999999997</v>
      </c>
      <c r="T42" s="271">
        <v>34.659999999999997</v>
      </c>
      <c r="U42" s="271">
        <v>35.020000000000003</v>
      </c>
      <c r="V42" s="271">
        <v>35.82</v>
      </c>
      <c r="W42" s="272">
        <v>35.71</v>
      </c>
      <c r="X42" s="271">
        <v>35.86</v>
      </c>
      <c r="Y42" s="271">
        <v>35.75</v>
      </c>
      <c r="Z42" s="273">
        <f ca="1">[1]ExtEntry!$F40</f>
        <v>35.75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45912.770833333336</v>
      </c>
      <c r="F43" s="271">
        <v>239</v>
      </c>
      <c r="G43" s="271">
        <v>239.65</v>
      </c>
      <c r="H43" s="271">
        <v>237</v>
      </c>
      <c r="I43" s="271">
        <v>236.65</v>
      </c>
      <c r="J43" s="271">
        <v>236.65</v>
      </c>
      <c r="K43" s="271">
        <v>236.9</v>
      </c>
      <c r="L43" s="271">
        <v>232.6</v>
      </c>
      <c r="M43" s="271">
        <v>233</v>
      </c>
      <c r="N43" s="271">
        <v>231.85</v>
      </c>
      <c r="O43" s="271">
        <v>236.4</v>
      </c>
      <c r="P43" s="271">
        <v>231.7</v>
      </c>
      <c r="Q43" s="271">
        <v>233.9</v>
      </c>
      <c r="R43" s="271">
        <v>227.25</v>
      </c>
      <c r="S43" s="271">
        <v>231.35</v>
      </c>
      <c r="T43" s="271">
        <v>233.2</v>
      </c>
      <c r="U43" s="271">
        <v>228.25</v>
      </c>
      <c r="V43" s="271">
        <v>230.45</v>
      </c>
      <c r="W43" s="272">
        <v>230.3</v>
      </c>
      <c r="X43" s="271">
        <v>223.7</v>
      </c>
      <c r="Y43" s="271">
        <v>219.8</v>
      </c>
      <c r="Z43" s="273">
        <f ca="1">[1]ExtEntry!$F41</f>
        <v>219.8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45912.833333333336</v>
      </c>
      <c r="F44" s="271">
        <v>15.26</v>
      </c>
      <c r="G44" s="271">
        <v>15.42</v>
      </c>
      <c r="H44" s="271">
        <v>15.68</v>
      </c>
      <c r="I44" s="271">
        <v>15.64</v>
      </c>
      <c r="J44" s="271">
        <v>15.64</v>
      </c>
      <c r="K44" s="271">
        <v>15.61</v>
      </c>
      <c r="L44" s="271">
        <v>15.5</v>
      </c>
      <c r="M44" s="271">
        <v>15.57</v>
      </c>
      <c r="N44" s="271">
        <v>15.7</v>
      </c>
      <c r="O44" s="271">
        <v>15.53</v>
      </c>
      <c r="P44" s="271">
        <v>15.65</v>
      </c>
      <c r="Q44" s="271">
        <v>15.25</v>
      </c>
      <c r="R44" s="271">
        <v>15.128</v>
      </c>
      <c r="S44" s="271">
        <v>15.128</v>
      </c>
      <c r="T44" s="271">
        <v>15.13</v>
      </c>
      <c r="U44" s="271">
        <v>14.83</v>
      </c>
      <c r="V44" s="271">
        <v>15.11</v>
      </c>
      <c r="W44" s="272">
        <v>14.91</v>
      </c>
      <c r="X44" s="271">
        <v>14.9</v>
      </c>
      <c r="Y44" s="271">
        <v>15.07</v>
      </c>
      <c r="Z44" s="273">
        <f ca="1">[1]ExtEntry!$F42</f>
        <v>15.07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45912.854248517971</v>
      </c>
      <c r="F45" s="271">
        <v>10.01</v>
      </c>
      <c r="G45" s="271">
        <v>9.2200000000000006</v>
      </c>
      <c r="H45" s="271">
        <v>9.4</v>
      </c>
      <c r="I45" s="271">
        <v>9.32</v>
      </c>
      <c r="J45" s="271">
        <v>9.32</v>
      </c>
      <c r="K45" s="271">
        <v>10.61</v>
      </c>
      <c r="L45" s="271">
        <v>11.08</v>
      </c>
      <c r="M45" s="271">
        <v>10.92</v>
      </c>
      <c r="N45" s="271">
        <v>10.75</v>
      </c>
      <c r="O45" s="271">
        <v>11.04</v>
      </c>
      <c r="P45" s="271">
        <v>11.23</v>
      </c>
      <c r="Q45" s="271">
        <v>10.65</v>
      </c>
      <c r="R45" s="271">
        <v>10.37</v>
      </c>
      <c r="S45" s="271">
        <v>10.37</v>
      </c>
      <c r="T45" s="271">
        <v>10.14</v>
      </c>
      <c r="U45" s="271">
        <v>10.24</v>
      </c>
      <c r="V45" s="271">
        <v>10.3</v>
      </c>
      <c r="W45" s="272">
        <v>10.119999999999999</v>
      </c>
      <c r="X45" s="271">
        <v>9.8000000000000007</v>
      </c>
      <c r="Y45" s="271">
        <v>9.85</v>
      </c>
      <c r="Z45" s="273">
        <f ca="1">[1]ExtEntry!$F43</f>
        <v>9.85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45912.856691006251</v>
      </c>
      <c r="F46" s="271">
        <v>339.38</v>
      </c>
      <c r="G46" s="271">
        <v>335.58</v>
      </c>
      <c r="H46" s="271">
        <v>330.56</v>
      </c>
      <c r="I46" s="271">
        <v>335.16</v>
      </c>
      <c r="J46" s="271">
        <v>335.16</v>
      </c>
      <c r="K46" s="271">
        <v>329.31</v>
      </c>
      <c r="L46" s="271">
        <v>340.01</v>
      </c>
      <c r="M46" s="271">
        <v>346.6</v>
      </c>
      <c r="N46" s="271">
        <v>351.67</v>
      </c>
      <c r="O46" s="271">
        <v>349.6</v>
      </c>
      <c r="P46" s="271">
        <v>345.98</v>
      </c>
      <c r="Q46" s="271">
        <v>333.87</v>
      </c>
      <c r="R46" s="271">
        <v>329.36</v>
      </c>
      <c r="S46" s="271">
        <v>329.36</v>
      </c>
      <c r="T46" s="271">
        <v>334.09</v>
      </c>
      <c r="U46" s="271">
        <v>350.84</v>
      </c>
      <c r="V46" s="271">
        <v>346.4</v>
      </c>
      <c r="W46" s="272">
        <v>346.97</v>
      </c>
      <c r="X46" s="271">
        <v>347.79</v>
      </c>
      <c r="Y46" s="271">
        <v>368.81</v>
      </c>
      <c r="Z46" s="273">
        <f ca="1">[1]ExtEntry!$F44</f>
        <v>368.81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45912.856647974222</v>
      </c>
      <c r="F47" s="271">
        <v>241.44</v>
      </c>
      <c r="G47" s="271">
        <v>241</v>
      </c>
      <c r="H47" s="271">
        <v>238.88</v>
      </c>
      <c r="I47" s="271">
        <v>241.41</v>
      </c>
      <c r="J47" s="271">
        <v>241.41</v>
      </c>
      <c r="K47" s="271">
        <v>232.7</v>
      </c>
      <c r="L47" s="271">
        <v>232.99</v>
      </c>
      <c r="M47" s="271">
        <v>235.59</v>
      </c>
      <c r="N47" s="271">
        <v>238.72</v>
      </c>
      <c r="O47" s="271">
        <v>239.29</v>
      </c>
      <c r="P47" s="271">
        <v>238.27</v>
      </c>
      <c r="Q47" s="271">
        <v>230.87</v>
      </c>
      <c r="R47" s="271">
        <v>228.39</v>
      </c>
      <c r="S47" s="271">
        <v>228.39</v>
      </c>
      <c r="T47" s="271">
        <v>231.39</v>
      </c>
      <c r="U47" s="271">
        <v>243.41</v>
      </c>
      <c r="V47" s="271">
        <v>247.19</v>
      </c>
      <c r="W47" s="272">
        <v>250.92</v>
      </c>
      <c r="X47" s="271">
        <v>260.44</v>
      </c>
      <c r="Y47" s="271">
        <v>258.91000000000003</v>
      </c>
      <c r="Z47" s="273">
        <f ca="1">[1]ExtEntry!$F45</f>
        <v>258.91000000000003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45912.836805555555</v>
      </c>
      <c r="F48" s="271">
        <v>38.25</v>
      </c>
      <c r="G48" s="271">
        <v>37.450000000000003</v>
      </c>
      <c r="H48" s="271">
        <v>38.200000000000003</v>
      </c>
      <c r="I48" s="271">
        <v>37.799999999999997</v>
      </c>
      <c r="J48" s="271">
        <v>37.799999999999997</v>
      </c>
      <c r="K48" s="271">
        <v>37.549999999999997</v>
      </c>
      <c r="L48" s="271">
        <v>37.450000000000003</v>
      </c>
      <c r="M48" s="271">
        <v>38.5</v>
      </c>
      <c r="N48" s="271">
        <v>37.5</v>
      </c>
      <c r="O48" s="271">
        <v>37.1</v>
      </c>
      <c r="P48" s="271">
        <v>37.200000000000003</v>
      </c>
      <c r="Q48" s="271">
        <v>36.549999999999997</v>
      </c>
      <c r="R48" s="271">
        <v>35.299999999999997</v>
      </c>
      <c r="S48" s="271">
        <v>35.549999999999997</v>
      </c>
      <c r="T48" s="271">
        <v>35.799999999999997</v>
      </c>
      <c r="U48" s="271">
        <v>35.450000000000003</v>
      </c>
      <c r="V48" s="271">
        <v>35.200000000000003</v>
      </c>
      <c r="W48" s="272">
        <v>35.6</v>
      </c>
      <c r="X48" s="271">
        <v>36.25</v>
      </c>
      <c r="Y48" s="271">
        <v>35.35</v>
      </c>
      <c r="Z48" s="273">
        <f ca="1">[1]ExtEntry!$F46</f>
        <v>35.35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45912.840323714845</v>
      </c>
      <c r="F49" s="271">
        <v>6.75</v>
      </c>
      <c r="G49" s="271">
        <v>6.43</v>
      </c>
      <c r="H49" s="271">
        <v>6.37</v>
      </c>
      <c r="I49" s="271">
        <v>6.25</v>
      </c>
      <c r="J49" s="271">
        <v>6.25</v>
      </c>
      <c r="K49" s="271">
        <v>6.25</v>
      </c>
      <c r="L49" s="271">
        <v>6.33</v>
      </c>
      <c r="M49" s="271">
        <v>6.28</v>
      </c>
      <c r="N49" s="271">
        <v>6.49</v>
      </c>
      <c r="O49" s="271">
        <v>6.63</v>
      </c>
      <c r="P49" s="271">
        <v>6.59</v>
      </c>
      <c r="Q49" s="271">
        <v>6.3</v>
      </c>
      <c r="R49" s="271">
        <v>5.83</v>
      </c>
      <c r="S49" s="271">
        <v>5.83</v>
      </c>
      <c r="T49" s="271">
        <v>6.03</v>
      </c>
      <c r="U49" s="271">
        <v>6.44</v>
      </c>
      <c r="V49" s="271">
        <v>7.26</v>
      </c>
      <c r="W49" s="272">
        <v>7.14</v>
      </c>
      <c r="X49" s="271">
        <v>6.85</v>
      </c>
      <c r="Y49" s="271">
        <v>7.11</v>
      </c>
      <c r="Z49" s="273">
        <f ca="1">[1]ExtEntry!$F47</f>
        <v>7.11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18087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45912.856534721876</v>
      </c>
      <c r="F50" s="271">
        <v>309.08999999999997</v>
      </c>
      <c r="G50" s="271">
        <v>311.23</v>
      </c>
      <c r="H50" s="271">
        <v>306.33999999999997</v>
      </c>
      <c r="I50" s="271">
        <v>305.76</v>
      </c>
      <c r="J50" s="271">
        <v>305.76</v>
      </c>
      <c r="K50" s="271">
        <v>294.91000000000003</v>
      </c>
      <c r="L50" s="271">
        <v>294</v>
      </c>
      <c r="M50" s="271">
        <v>294.23</v>
      </c>
      <c r="N50" s="271">
        <v>298.01</v>
      </c>
      <c r="O50" s="271">
        <v>300.25</v>
      </c>
      <c r="P50" s="271">
        <v>308.64999999999998</v>
      </c>
      <c r="Q50" s="271">
        <v>297.39</v>
      </c>
      <c r="R50" s="271">
        <v>298.24</v>
      </c>
      <c r="S50" s="271">
        <v>298.24</v>
      </c>
      <c r="T50" s="271">
        <v>302.39</v>
      </c>
      <c r="U50" s="271">
        <v>334.89</v>
      </c>
      <c r="V50" s="271">
        <v>345.65</v>
      </c>
      <c r="W50" s="272">
        <v>336.67</v>
      </c>
      <c r="X50" s="271">
        <v>369.57</v>
      </c>
      <c r="Y50" s="271">
        <v>359.63</v>
      </c>
      <c r="Z50" s="273">
        <f ca="1">[1]ExtEntry!$F48</f>
        <v>359.63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45912.833333333336</v>
      </c>
      <c r="F51" s="271">
        <v>30.41</v>
      </c>
      <c r="G51" s="271">
        <v>30.51</v>
      </c>
      <c r="H51" s="271">
        <v>30.68</v>
      </c>
      <c r="I51" s="271">
        <v>30.225000000000001</v>
      </c>
      <c r="J51" s="271">
        <v>30.225000000000001</v>
      </c>
      <c r="K51" s="271">
        <v>30.86</v>
      </c>
      <c r="L51" s="271">
        <v>31.54</v>
      </c>
      <c r="M51" s="271">
        <v>30.81</v>
      </c>
      <c r="N51" s="271">
        <v>30.87</v>
      </c>
      <c r="O51" s="271">
        <v>30.55</v>
      </c>
      <c r="P51" s="271">
        <v>30.79</v>
      </c>
      <c r="Q51" s="271">
        <v>30.724</v>
      </c>
      <c r="R51" s="271">
        <v>29.55</v>
      </c>
      <c r="S51" s="271">
        <v>29.55</v>
      </c>
      <c r="T51" s="271">
        <v>29.36</v>
      </c>
      <c r="U51" s="271">
        <v>29.51</v>
      </c>
      <c r="V51" s="271">
        <v>29.18</v>
      </c>
      <c r="W51" s="272">
        <v>29.24</v>
      </c>
      <c r="X51" s="271">
        <v>29.14</v>
      </c>
      <c r="Y51" s="271">
        <v>29.552499999999998</v>
      </c>
      <c r="Z51" s="273">
        <f ca="1">[1]ExtEntry!$F49</f>
        <v>29.552499999999998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45912.652777777781</v>
      </c>
      <c r="F52" s="271">
        <v>60.3</v>
      </c>
      <c r="G52" s="271">
        <v>60.3</v>
      </c>
      <c r="H52" s="271">
        <v>60.3</v>
      </c>
      <c r="I52" s="271">
        <v>60.8</v>
      </c>
      <c r="J52" s="271">
        <v>60.8</v>
      </c>
      <c r="K52" s="271">
        <v>61.3</v>
      </c>
      <c r="L52" s="271">
        <v>61.6</v>
      </c>
      <c r="M52" s="271">
        <v>61.6</v>
      </c>
      <c r="N52" s="271">
        <v>61.4</v>
      </c>
      <c r="O52" s="271">
        <v>61.5</v>
      </c>
      <c r="P52" s="271">
        <v>61</v>
      </c>
      <c r="Q52" s="271">
        <v>61</v>
      </c>
      <c r="R52" s="271">
        <v>60.4</v>
      </c>
      <c r="S52" s="271">
        <v>60.6</v>
      </c>
      <c r="T52" s="271">
        <v>61.7</v>
      </c>
      <c r="U52" s="271">
        <v>61.5</v>
      </c>
      <c r="V52" s="271">
        <v>61.8</v>
      </c>
      <c r="W52" s="272">
        <v>61.8</v>
      </c>
      <c r="X52" s="271">
        <v>61.7</v>
      </c>
      <c r="Y52" s="271">
        <v>61.4</v>
      </c>
      <c r="Z52" s="273">
        <f ca="1">[1]ExtEntry!$F50</f>
        <v>61.4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13000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45912.855086851559</v>
      </c>
      <c r="F53" s="271">
        <v>10.41</v>
      </c>
      <c r="G53" s="271">
        <v>10.69</v>
      </c>
      <c r="H53" s="271">
        <v>10.61</v>
      </c>
      <c r="I53" s="271">
        <v>10.63</v>
      </c>
      <c r="J53" s="271">
        <v>10.63</v>
      </c>
      <c r="K53" s="271">
        <v>10.68</v>
      </c>
      <c r="L53" s="271">
        <v>10.65</v>
      </c>
      <c r="M53" s="271">
        <v>10.55</v>
      </c>
      <c r="N53" s="271">
        <v>10.41</v>
      </c>
      <c r="O53" s="271">
        <v>10.42</v>
      </c>
      <c r="P53" s="271">
        <v>10.41</v>
      </c>
      <c r="Q53" s="271">
        <v>10.55</v>
      </c>
      <c r="R53" s="271">
        <v>10.56</v>
      </c>
      <c r="S53" s="271">
        <v>10.56</v>
      </c>
      <c r="T53" s="271">
        <v>10.55</v>
      </c>
      <c r="U53" s="271">
        <v>10.5</v>
      </c>
      <c r="V53" s="271">
        <v>10.48</v>
      </c>
      <c r="W53" s="272">
        <v>10.45</v>
      </c>
      <c r="X53" s="271">
        <v>10.24</v>
      </c>
      <c r="Y53" s="271">
        <v>10.17</v>
      </c>
      <c r="Z53" s="273">
        <f ca="1">[1]ExtEntry!$F51</f>
        <v>10.17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5000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11.89</v>
      </c>
      <c r="G54" s="271">
        <v>12.04</v>
      </c>
      <c r="H54" s="271">
        <v>11.96</v>
      </c>
      <c r="I54" s="271">
        <v>12</v>
      </c>
      <c r="J54" s="271">
        <v>12</v>
      </c>
      <c r="K54" s="271">
        <v>12.08</v>
      </c>
      <c r="L54" s="271">
        <v>12.07</v>
      </c>
      <c r="M54" s="271">
        <v>11.97</v>
      </c>
      <c r="N54" s="271">
        <v>11.92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45912.855599293747</v>
      </c>
      <c r="F55" s="271">
        <v>107.6</v>
      </c>
      <c r="G55" s="271">
        <v>106.39</v>
      </c>
      <c r="H55" s="271">
        <v>106.49</v>
      </c>
      <c r="I55" s="271">
        <v>106.72</v>
      </c>
      <c r="J55" s="271">
        <v>106.72</v>
      </c>
      <c r="K55" s="271">
        <v>107.42</v>
      </c>
      <c r="L55" s="271">
        <v>111.28</v>
      </c>
      <c r="M55" s="271">
        <v>111.74</v>
      </c>
      <c r="N55" s="271">
        <v>111.49</v>
      </c>
      <c r="O55" s="271">
        <v>112.75</v>
      </c>
      <c r="P55" s="271">
        <v>113.35</v>
      </c>
      <c r="Q55" s="271">
        <v>114.29</v>
      </c>
      <c r="R55" s="271">
        <v>114.69</v>
      </c>
      <c r="S55" s="271">
        <v>114.69</v>
      </c>
      <c r="T55" s="271">
        <v>111.91</v>
      </c>
      <c r="U55" s="271">
        <v>109.23</v>
      </c>
      <c r="V55" s="271">
        <v>109.85</v>
      </c>
      <c r="W55" s="272">
        <v>110.65</v>
      </c>
      <c r="X55" s="271">
        <v>112.5</v>
      </c>
      <c r="Y55" s="271">
        <v>112.14</v>
      </c>
      <c r="Z55" s="273">
        <f ca="1">[1]ExtEntry!$F53</f>
        <v>112.14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45912.840323935154</v>
      </c>
      <c r="F56" s="271">
        <v>6.23</v>
      </c>
      <c r="G56" s="271">
        <v>5.89</v>
      </c>
      <c r="H56" s="271">
        <v>5.91</v>
      </c>
      <c r="I56" s="271">
        <v>6.14</v>
      </c>
      <c r="J56" s="271">
        <v>6.14</v>
      </c>
      <c r="K56" s="271">
        <v>6.17</v>
      </c>
      <c r="L56" s="271">
        <v>6.21</v>
      </c>
      <c r="M56" s="271">
        <v>6.22</v>
      </c>
      <c r="N56" s="271">
        <v>6.01</v>
      </c>
      <c r="O56" s="271">
        <v>6.09</v>
      </c>
      <c r="P56" s="271">
        <v>6.04</v>
      </c>
      <c r="Q56" s="271">
        <v>6</v>
      </c>
      <c r="R56" s="271">
        <v>5.87</v>
      </c>
      <c r="S56" s="271">
        <v>5.87</v>
      </c>
      <c r="T56" s="271">
        <v>5.88</v>
      </c>
      <c r="U56" s="271">
        <v>6.13</v>
      </c>
      <c r="V56" s="271">
        <v>6.13</v>
      </c>
      <c r="W56" s="272">
        <v>6.01</v>
      </c>
      <c r="X56" s="271">
        <v>5.94</v>
      </c>
      <c r="Y56" s="271">
        <v>6.07</v>
      </c>
      <c r="Z56" s="273">
        <f ca="1">[1]ExtEntry!$F54</f>
        <v>6.07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45912.666666666664</v>
      </c>
      <c r="F57" s="271">
        <v>0.96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0.94799999999999995</v>
      </c>
      <c r="L57" s="271">
        <v>0.94</v>
      </c>
      <c r="M57" s="271">
        <v>0.91800000000000004</v>
      </c>
      <c r="N57" s="271">
        <v>0.91</v>
      </c>
      <c r="O57" s="271">
        <v>0.91800000000000004</v>
      </c>
      <c r="P57" s="271">
        <v>0.93799999999999994</v>
      </c>
      <c r="Q57" s="271">
        <v>0.91</v>
      </c>
      <c r="R57" s="271">
        <v>0.9</v>
      </c>
      <c r="S57" s="271">
        <v>0.92800000000000005</v>
      </c>
      <c r="T57" s="271">
        <v>0.872</v>
      </c>
      <c r="U57" s="271">
        <v>0.91</v>
      </c>
      <c r="V57" s="271">
        <v>0.89</v>
      </c>
      <c r="W57" s="272">
        <v>0.90200000000000002</v>
      </c>
      <c r="X57" s="271">
        <v>0.90800000000000003</v>
      </c>
      <c r="Y57" s="271">
        <v>0.88800000000000001</v>
      </c>
      <c r="Z57" s="273">
        <f ca="1">[1]ExtEntry!$F55</f>
        <v>0.88800000000000001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45912.85209288125</v>
      </c>
      <c r="F58" s="271">
        <v>2.33</v>
      </c>
      <c r="G58" s="271">
        <v>2.09</v>
      </c>
      <c r="H58" s="271">
        <v>2.0499999999999998</v>
      </c>
      <c r="I58" s="271">
        <v>2.09</v>
      </c>
      <c r="J58" s="271">
        <v>2.09</v>
      </c>
      <c r="K58" s="271">
        <v>1.97</v>
      </c>
      <c r="L58" s="271">
        <v>2.1</v>
      </c>
      <c r="M58" s="271">
        <v>2.1800000000000002</v>
      </c>
      <c r="N58" s="271">
        <v>2.15</v>
      </c>
      <c r="O58" s="271">
        <v>2.56</v>
      </c>
      <c r="P58" s="271">
        <v>2.41</v>
      </c>
      <c r="Q58" s="271">
        <v>2.2999999999999998</v>
      </c>
      <c r="R58" s="271">
        <v>2.1800000000000002</v>
      </c>
      <c r="S58" s="271">
        <v>2.1800000000000002</v>
      </c>
      <c r="T58" s="271">
        <v>2.0499999999999998</v>
      </c>
      <c r="U58" s="271">
        <v>2.12</v>
      </c>
      <c r="V58" s="271">
        <v>2.17</v>
      </c>
      <c r="W58" s="272">
        <v>2.1</v>
      </c>
      <c r="X58" s="271">
        <v>2.12</v>
      </c>
      <c r="Y58" s="271">
        <v>2.25</v>
      </c>
      <c r="Z58" s="273">
        <f ca="1">[1]ExtEntry!$F56</f>
        <v>2.25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45912.666666666664</v>
      </c>
      <c r="F59" s="271">
        <v>26.77</v>
      </c>
      <c r="G59" s="271">
        <v>26.64</v>
      </c>
      <c r="H59" s="271">
        <v>26.89</v>
      </c>
      <c r="I59" s="271">
        <v>26.72</v>
      </c>
      <c r="J59" s="271">
        <v>26.72</v>
      </c>
      <c r="K59" s="271">
        <v>27</v>
      </c>
      <c r="L59" s="271">
        <v>27.13</v>
      </c>
      <c r="M59" s="271">
        <v>26.79</v>
      </c>
      <c r="N59" s="271">
        <v>26.45</v>
      </c>
      <c r="O59" s="271">
        <v>26.84</v>
      </c>
      <c r="P59" s="271">
        <v>26.6</v>
      </c>
      <c r="Q59" s="271">
        <v>26.62</v>
      </c>
      <c r="R59" s="271">
        <v>26.33</v>
      </c>
      <c r="S59" s="271">
        <v>26.57</v>
      </c>
      <c r="T59" s="271">
        <v>26.74</v>
      </c>
      <c r="U59" s="271">
        <v>26.8</v>
      </c>
      <c r="V59" s="271">
        <v>27.38</v>
      </c>
      <c r="W59" s="272">
        <v>27.83</v>
      </c>
      <c r="X59" s="271">
        <v>27.36</v>
      </c>
      <c r="Y59" s="271">
        <v>27.29</v>
      </c>
      <c r="Z59" s="273">
        <f ca="1">[1]ExtEntry!$F57</f>
        <v>27.29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45912.770833333336</v>
      </c>
      <c r="F60" s="271">
        <v>16</v>
      </c>
      <c r="G60" s="271">
        <v>15.984999999999999</v>
      </c>
      <c r="H60" s="271">
        <v>15.785</v>
      </c>
      <c r="I60" s="271">
        <v>15.765000000000001</v>
      </c>
      <c r="J60" s="271">
        <v>15.765000000000001</v>
      </c>
      <c r="K60" s="271">
        <v>15.695</v>
      </c>
      <c r="L60" s="271">
        <v>15.445</v>
      </c>
      <c r="M60" s="271">
        <v>15.414999999999999</v>
      </c>
      <c r="N60" s="271">
        <v>15.57</v>
      </c>
      <c r="O60" s="271">
        <v>15.675000000000001</v>
      </c>
      <c r="P60" s="271">
        <v>15.244999999999999</v>
      </c>
      <c r="Q60" s="271">
        <v>15.06</v>
      </c>
      <c r="R60" s="271">
        <v>14.715</v>
      </c>
      <c r="S60" s="271">
        <v>14.84</v>
      </c>
      <c r="T60" s="271">
        <v>14.925000000000001</v>
      </c>
      <c r="U60" s="271">
        <v>15.175000000000001</v>
      </c>
      <c r="V60" s="271">
        <v>15.345000000000001</v>
      </c>
      <c r="W60" s="272">
        <v>15.305</v>
      </c>
      <c r="X60" s="271">
        <v>15.33</v>
      </c>
      <c r="Y60" s="271">
        <v>15.295</v>
      </c>
      <c r="Z60" s="273">
        <f ca="1">[1]ExtEntry!$F58</f>
        <v>15.295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45912.666666666664</v>
      </c>
      <c r="F61" s="271">
        <v>14.94</v>
      </c>
      <c r="G61" s="271">
        <v>14.94</v>
      </c>
      <c r="H61" s="271">
        <v>14.972</v>
      </c>
      <c r="I61" s="271">
        <v>14.948</v>
      </c>
      <c r="J61" s="271">
        <v>14.948</v>
      </c>
      <c r="K61" s="271">
        <v>15.002000000000001</v>
      </c>
      <c r="L61" s="271">
        <v>15.228</v>
      </c>
      <c r="M61" s="271">
        <v>15.246</v>
      </c>
      <c r="N61" s="271">
        <v>15.19</v>
      </c>
      <c r="O61" s="271">
        <v>15.224</v>
      </c>
      <c r="P61" s="271">
        <v>15.242000000000001</v>
      </c>
      <c r="Q61" s="271">
        <v>15.318</v>
      </c>
      <c r="R61" s="271">
        <v>15.162000000000001</v>
      </c>
      <c r="S61" s="271">
        <v>14.888</v>
      </c>
      <c r="T61" s="271">
        <v>14.928000000000001</v>
      </c>
      <c r="U61" s="271">
        <v>14.625999999999999</v>
      </c>
      <c r="V61" s="271">
        <v>14.688000000000001</v>
      </c>
      <c r="W61" s="272">
        <v>14.944000000000001</v>
      </c>
      <c r="X61" s="271">
        <v>14.958</v>
      </c>
      <c r="Y61" s="271">
        <v>14.922000000000001</v>
      </c>
      <c r="Z61" s="273">
        <f ca="1">[1]ExtEntry!$F59</f>
        <v>14.922000000000001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45912.854553390622</v>
      </c>
      <c r="F62" s="271">
        <v>1.92</v>
      </c>
      <c r="G62" s="271">
        <v>1.92</v>
      </c>
      <c r="H62" s="271">
        <v>1.93</v>
      </c>
      <c r="I62" s="271">
        <v>1.91</v>
      </c>
      <c r="J62" s="271">
        <v>1.91</v>
      </c>
      <c r="K62" s="271">
        <v>1.91</v>
      </c>
      <c r="L62" s="271">
        <v>0.23899999999999999</v>
      </c>
      <c r="M62" s="271">
        <v>0.78259999999999996</v>
      </c>
      <c r="N62" s="271">
        <v>0.2631</v>
      </c>
      <c r="O62" s="271">
        <v>0.24560000000000001</v>
      </c>
      <c r="P62" s="271">
        <v>0.23499999999999999</v>
      </c>
      <c r="Q62" s="271">
        <v>0.24</v>
      </c>
      <c r="R62" s="271">
        <v>0.23880000000000001</v>
      </c>
      <c r="S62" s="271">
        <v>0.23880000000000001</v>
      </c>
      <c r="T62" s="271">
        <v>0.23649999999999999</v>
      </c>
      <c r="U62" s="271">
        <v>0.2329</v>
      </c>
      <c r="V62" s="271">
        <v>0.2369</v>
      </c>
      <c r="W62" s="272">
        <v>0.24</v>
      </c>
      <c r="X62" s="271">
        <v>0.20499999999999999</v>
      </c>
      <c r="Y62" s="271">
        <v>0.20549999999999999</v>
      </c>
      <c r="Z62" s="273">
        <f ca="1">[1]ExtEntry!$F60</f>
        <v>0.20549999999999999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45912.666666666664</v>
      </c>
      <c r="F63" s="271">
        <v>57.72</v>
      </c>
      <c r="G63" s="271">
        <v>58.5</v>
      </c>
      <c r="H63" s="271">
        <v>58.78</v>
      </c>
      <c r="I63" s="271">
        <v>57.76</v>
      </c>
      <c r="J63" s="271">
        <v>57.76</v>
      </c>
      <c r="K63" s="271">
        <v>58.32</v>
      </c>
      <c r="L63" s="271">
        <v>57.84</v>
      </c>
      <c r="M63" s="271">
        <v>55.82</v>
      </c>
      <c r="N63" s="271">
        <v>52</v>
      </c>
      <c r="O63" s="271">
        <v>52</v>
      </c>
      <c r="P63" s="271">
        <v>52.72</v>
      </c>
      <c r="Q63" s="271">
        <v>53.2</v>
      </c>
      <c r="R63" s="271">
        <v>52.5</v>
      </c>
      <c r="S63" s="271">
        <v>52.82</v>
      </c>
      <c r="T63" s="271">
        <v>54.08</v>
      </c>
      <c r="U63" s="271">
        <v>53.04</v>
      </c>
      <c r="V63" s="271">
        <v>53.76</v>
      </c>
      <c r="W63" s="272">
        <v>54.32</v>
      </c>
      <c r="X63" s="271">
        <v>55.82</v>
      </c>
      <c r="Y63" s="271">
        <v>57.6</v>
      </c>
      <c r="Z63" s="273">
        <f ca="1">[1]ExtEntry!$F61</f>
        <v>57.6</v>
      </c>
      <c r="AA63" s="291"/>
      <c r="AB63" s="404">
        <v>10</v>
      </c>
      <c r="AC63" s="404">
        <v>2000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45912.666666666664</v>
      </c>
      <c r="F64" s="271">
        <v>14.3</v>
      </c>
      <c r="G64" s="271">
        <v>14.41</v>
      </c>
      <c r="H64" s="271">
        <v>14.44</v>
      </c>
      <c r="I64" s="271">
        <v>14.484999999999999</v>
      </c>
      <c r="J64" s="271">
        <v>14.484999999999999</v>
      </c>
      <c r="K64" s="271">
        <v>14.385</v>
      </c>
      <c r="L64" s="271">
        <v>14.48</v>
      </c>
      <c r="M64" s="271">
        <v>14.215</v>
      </c>
      <c r="N64" s="271">
        <v>13.875</v>
      </c>
      <c r="O64" s="271">
        <v>13.86</v>
      </c>
      <c r="P64" s="271">
        <v>13.9</v>
      </c>
      <c r="Q64" s="271">
        <v>13.89</v>
      </c>
      <c r="R64" s="271">
        <v>13.785</v>
      </c>
      <c r="S64" s="271">
        <v>13.525</v>
      </c>
      <c r="T64" s="271">
        <v>13.715</v>
      </c>
      <c r="U64" s="271">
        <v>13.625</v>
      </c>
      <c r="V64" s="271">
        <v>13.525</v>
      </c>
      <c r="W64" s="272">
        <v>13.67</v>
      </c>
      <c r="X64" s="271">
        <v>13.72</v>
      </c>
      <c r="Y64" s="271">
        <v>13.89</v>
      </c>
      <c r="Z64" s="273">
        <f ca="1">[1]ExtEntry!$F62</f>
        <v>13.89</v>
      </c>
      <c r="AA64" s="291"/>
      <c r="AB64" s="404">
        <v>20000</v>
      </c>
      <c r="AC64" s="404">
        <v>23000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21000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45912.770833333336</v>
      </c>
      <c r="F65" s="271">
        <v>35.47</v>
      </c>
      <c r="G65" s="271">
        <v>34.58</v>
      </c>
      <c r="H65" s="271">
        <v>34.83</v>
      </c>
      <c r="I65" s="271">
        <v>35.19</v>
      </c>
      <c r="J65" s="271">
        <v>35.19</v>
      </c>
      <c r="K65" s="271">
        <v>35.26</v>
      </c>
      <c r="L65" s="271">
        <v>35.72</v>
      </c>
      <c r="M65" s="271">
        <v>35.35</v>
      </c>
      <c r="N65" s="271">
        <v>35</v>
      </c>
      <c r="O65" s="271">
        <v>34.92</v>
      </c>
      <c r="P65" s="271">
        <v>34.24</v>
      </c>
      <c r="Q65" s="271">
        <v>34.340000000000003</v>
      </c>
      <c r="R65" s="271">
        <v>33.93</v>
      </c>
      <c r="S65" s="271">
        <v>33.979999999999997</v>
      </c>
      <c r="T65" s="271">
        <v>34.659999999999997</v>
      </c>
      <c r="U65" s="271">
        <v>35.020000000000003</v>
      </c>
      <c r="V65" s="271">
        <v>35.82</v>
      </c>
      <c r="W65" s="272">
        <v>35.71</v>
      </c>
      <c r="X65" s="271">
        <v>35.86</v>
      </c>
      <c r="Y65" s="271">
        <v>35.75</v>
      </c>
      <c r="Z65" s="273">
        <f ca="1">[1]ExtEntry!$F63</f>
        <v>35.75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45912.770833333336</v>
      </c>
      <c r="F66" s="271">
        <v>239</v>
      </c>
      <c r="G66" s="271">
        <v>239.65</v>
      </c>
      <c r="H66" s="271">
        <v>237</v>
      </c>
      <c r="I66" s="271">
        <v>236.65</v>
      </c>
      <c r="J66" s="271">
        <v>236.65</v>
      </c>
      <c r="K66" s="271">
        <v>236.9</v>
      </c>
      <c r="L66" s="271">
        <v>232.6</v>
      </c>
      <c r="M66" s="271">
        <v>233</v>
      </c>
      <c r="N66" s="271">
        <v>231.85</v>
      </c>
      <c r="O66" s="271">
        <v>236.4</v>
      </c>
      <c r="P66" s="271">
        <v>231.7</v>
      </c>
      <c r="Q66" s="271">
        <v>233.9</v>
      </c>
      <c r="R66" s="271">
        <v>227.25</v>
      </c>
      <c r="S66" s="271">
        <v>231.35</v>
      </c>
      <c r="T66" s="271">
        <v>233.2</v>
      </c>
      <c r="U66" s="271">
        <v>228.25</v>
      </c>
      <c r="V66" s="271">
        <v>230.45</v>
      </c>
      <c r="W66" s="272">
        <v>230.3</v>
      </c>
      <c r="X66" s="271">
        <v>223.7</v>
      </c>
      <c r="Y66" s="271">
        <v>219.8</v>
      </c>
      <c r="Z66" s="273">
        <f ca="1">[1]ExtEntry!$F64</f>
        <v>219.8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45912.836805555555</v>
      </c>
      <c r="F67" s="271">
        <v>38.25</v>
      </c>
      <c r="G67" s="271">
        <v>37.450000000000003</v>
      </c>
      <c r="H67" s="271">
        <v>38.200000000000003</v>
      </c>
      <c r="I67" s="271">
        <v>37.799999999999997</v>
      </c>
      <c r="J67" s="271">
        <v>37.799999999999997</v>
      </c>
      <c r="K67" s="271">
        <v>37.549999999999997</v>
      </c>
      <c r="L67" s="271">
        <v>37.450000000000003</v>
      </c>
      <c r="M67" s="271">
        <v>38.5</v>
      </c>
      <c r="N67" s="271">
        <v>37.5</v>
      </c>
      <c r="O67" s="271">
        <v>37.1</v>
      </c>
      <c r="P67" s="271">
        <v>37.200000000000003</v>
      </c>
      <c r="Q67" s="271">
        <v>36.549999999999997</v>
      </c>
      <c r="R67" s="271">
        <v>35.299999999999997</v>
      </c>
      <c r="S67" s="271">
        <v>35.549999999999997</v>
      </c>
      <c r="T67" s="271">
        <v>35.799999999999997</v>
      </c>
      <c r="U67" s="271">
        <v>35.450000000000003</v>
      </c>
      <c r="V67" s="271">
        <v>35.200000000000003</v>
      </c>
      <c r="W67" s="272">
        <v>35.6</v>
      </c>
      <c r="X67" s="271">
        <v>36.25</v>
      </c>
      <c r="Y67" s="271">
        <v>35.35</v>
      </c>
      <c r="Z67" s="273">
        <f ca="1">[1]ExtEntry!$F65</f>
        <v>35.35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45912.856644582811</v>
      </c>
      <c r="F68" s="271">
        <v>233.33</v>
      </c>
      <c r="G68" s="271">
        <v>232.78</v>
      </c>
      <c r="H68" s="271">
        <v>231.59</v>
      </c>
      <c r="I68" s="271">
        <v>230.89</v>
      </c>
      <c r="J68" s="271">
        <v>230.89</v>
      </c>
      <c r="K68" s="271">
        <v>230.56</v>
      </c>
      <c r="L68" s="271">
        <v>227.76</v>
      </c>
      <c r="M68" s="271">
        <v>227.16</v>
      </c>
      <c r="N68" s="271">
        <v>229.31</v>
      </c>
      <c r="O68" s="271">
        <v>230.49</v>
      </c>
      <c r="P68" s="271">
        <v>232.56</v>
      </c>
      <c r="Q68" s="271">
        <v>232.14</v>
      </c>
      <c r="R68" s="271">
        <v>229.72</v>
      </c>
      <c r="S68" s="271">
        <v>229.72</v>
      </c>
      <c r="T68" s="271">
        <v>238.47</v>
      </c>
      <c r="U68" s="271">
        <v>239.69</v>
      </c>
      <c r="V68" s="271">
        <v>237.88</v>
      </c>
      <c r="W68" s="272">
        <v>234.35</v>
      </c>
      <c r="X68" s="271">
        <v>226.79</v>
      </c>
      <c r="Y68" s="271">
        <v>230.03</v>
      </c>
      <c r="Z68" s="273">
        <f ca="1">[1]ExtEntry!$F66</f>
        <v>230.03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500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45912.856605867972</v>
      </c>
      <c r="F69" s="271">
        <v>224.56</v>
      </c>
      <c r="G69" s="271">
        <v>230.98</v>
      </c>
      <c r="H69" s="271">
        <v>231.03</v>
      </c>
      <c r="I69" s="271">
        <v>231.49</v>
      </c>
      <c r="J69" s="271">
        <v>231.49</v>
      </c>
      <c r="K69" s="271">
        <v>228.01</v>
      </c>
      <c r="L69" s="271">
        <v>228.84</v>
      </c>
      <c r="M69" s="271">
        <v>227.94</v>
      </c>
      <c r="N69" s="271">
        <v>228.71</v>
      </c>
      <c r="O69" s="271">
        <v>229.12</v>
      </c>
      <c r="P69" s="271">
        <v>231.6</v>
      </c>
      <c r="Q69" s="271">
        <v>229</v>
      </c>
      <c r="R69" s="271">
        <v>225.34</v>
      </c>
      <c r="S69" s="271">
        <v>225.34</v>
      </c>
      <c r="T69" s="271">
        <v>225.99</v>
      </c>
      <c r="U69" s="271">
        <v>232.33</v>
      </c>
      <c r="V69" s="271">
        <v>235.84</v>
      </c>
      <c r="W69" s="272">
        <v>238.24</v>
      </c>
      <c r="X69" s="271">
        <v>230.33</v>
      </c>
      <c r="Y69" s="271">
        <v>229.95</v>
      </c>
      <c r="Z69" s="273">
        <f ca="1">[1]ExtEntry!$F67</f>
        <v>229.95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45912.666666666664</v>
      </c>
      <c r="F70" s="271">
        <v>640.6</v>
      </c>
      <c r="G70" s="271">
        <v>642.9</v>
      </c>
      <c r="H70" s="271">
        <v>636.70000000000005</v>
      </c>
      <c r="I70" s="271">
        <v>638.70000000000005</v>
      </c>
      <c r="J70" s="271">
        <v>638.70000000000005</v>
      </c>
      <c r="K70" s="271">
        <v>642.29999999999995</v>
      </c>
      <c r="L70" s="271">
        <v>646.20000000000005</v>
      </c>
      <c r="M70" s="271">
        <v>646.70000000000005</v>
      </c>
      <c r="N70" s="271">
        <v>650.6</v>
      </c>
      <c r="O70" s="271">
        <v>660.2</v>
      </c>
      <c r="P70" s="271">
        <v>636.6</v>
      </c>
      <c r="Q70" s="271">
        <v>636.1</v>
      </c>
      <c r="R70" s="271">
        <v>617.20000000000005</v>
      </c>
      <c r="S70" s="271">
        <v>625.29999999999995</v>
      </c>
      <c r="T70" s="271">
        <v>647.6</v>
      </c>
      <c r="U70" s="271">
        <v>660.2</v>
      </c>
      <c r="V70" s="271">
        <v>676.6</v>
      </c>
      <c r="W70" s="272">
        <v>683.2</v>
      </c>
      <c r="X70" s="271">
        <v>680.2</v>
      </c>
      <c r="Y70" s="271">
        <v>686</v>
      </c>
      <c r="Z70" s="273">
        <f ca="1">[1]ExtEntry!$F68</f>
        <v>686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180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45912.85209288125</v>
      </c>
      <c r="F71" s="271">
        <v>2.33</v>
      </c>
      <c r="G71" s="271">
        <v>2.09</v>
      </c>
      <c r="H71" s="271">
        <v>2.0499999999999998</v>
      </c>
      <c r="I71" s="271">
        <v>2.09</v>
      </c>
      <c r="J71" s="271">
        <v>2.09</v>
      </c>
      <c r="K71" s="271">
        <v>1.97</v>
      </c>
      <c r="L71" s="271">
        <v>2.1</v>
      </c>
      <c r="M71" s="271">
        <v>2.1800000000000002</v>
      </c>
      <c r="N71" s="271">
        <v>2.15</v>
      </c>
      <c r="O71" s="271">
        <v>2.56</v>
      </c>
      <c r="P71" s="271">
        <v>2.41</v>
      </c>
      <c r="Q71" s="271">
        <v>2.2999999999999998</v>
      </c>
      <c r="R71" s="271">
        <v>2.1800000000000002</v>
      </c>
      <c r="S71" s="271">
        <v>2.1800000000000002</v>
      </c>
      <c r="T71" s="271">
        <v>2.0499999999999998</v>
      </c>
      <c r="U71" s="271">
        <v>2.12</v>
      </c>
      <c r="V71" s="271">
        <v>2.17</v>
      </c>
      <c r="W71" s="272">
        <v>2.1</v>
      </c>
      <c r="X71" s="271">
        <v>2.12</v>
      </c>
      <c r="Y71" s="271">
        <v>2.25</v>
      </c>
      <c r="Z71" s="273">
        <f ca="1">[1]ExtEntry!$F69</f>
        <v>2.25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45912.855752546093</v>
      </c>
      <c r="F72" s="271">
        <v>116.64</v>
      </c>
      <c r="G72" s="271">
        <v>116.31</v>
      </c>
      <c r="H72" s="271">
        <v>115.39</v>
      </c>
      <c r="I72" s="271">
        <v>116.55</v>
      </c>
      <c r="J72" s="271">
        <v>116.55</v>
      </c>
      <c r="K72" s="271">
        <v>116.27</v>
      </c>
      <c r="L72" s="271">
        <v>118.86</v>
      </c>
      <c r="M72" s="271">
        <v>117.71</v>
      </c>
      <c r="N72" s="271">
        <v>117.65</v>
      </c>
      <c r="O72" s="271">
        <v>118.09</v>
      </c>
      <c r="P72" s="271">
        <v>117.64</v>
      </c>
      <c r="Q72" s="271">
        <v>118.38</v>
      </c>
      <c r="R72" s="271">
        <v>118.27</v>
      </c>
      <c r="S72" s="271">
        <v>118.27</v>
      </c>
      <c r="T72" s="271">
        <v>117.38</v>
      </c>
      <c r="U72" s="271">
        <v>117.91</v>
      </c>
      <c r="V72" s="271">
        <v>118.84</v>
      </c>
      <c r="W72" s="272">
        <v>117.37</v>
      </c>
      <c r="X72" s="271">
        <v>115.79</v>
      </c>
      <c r="Y72" s="271">
        <v>117.08</v>
      </c>
      <c r="Z72" s="273">
        <f ca="1">[1]ExtEntry!$F70</f>
        <v>117.08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45912.855596388283</v>
      </c>
      <c r="F73" s="271">
        <v>55.58</v>
      </c>
      <c r="G73" s="271">
        <v>56.42</v>
      </c>
      <c r="H73" s="271">
        <v>56.31</v>
      </c>
      <c r="I73" s="271">
        <v>56.23</v>
      </c>
      <c r="J73" s="271">
        <v>56.23</v>
      </c>
      <c r="K73" s="271">
        <v>57.06</v>
      </c>
      <c r="L73" s="271">
        <v>58.37</v>
      </c>
      <c r="M73" s="271">
        <v>58.28</v>
      </c>
      <c r="N73" s="271">
        <v>58.8</v>
      </c>
      <c r="O73" s="271">
        <v>58.75</v>
      </c>
      <c r="P73" s="271">
        <v>58.49</v>
      </c>
      <c r="Q73" s="271">
        <v>58.59</v>
      </c>
      <c r="R73" s="271">
        <v>58.53</v>
      </c>
      <c r="S73" s="271">
        <v>58.53</v>
      </c>
      <c r="T73" s="271">
        <v>57.75</v>
      </c>
      <c r="U73" s="271">
        <v>58.27</v>
      </c>
      <c r="V73" s="271">
        <v>58.2</v>
      </c>
      <c r="W73" s="272">
        <v>58.01</v>
      </c>
      <c r="X73" s="271">
        <v>57.34</v>
      </c>
      <c r="Y73" s="271">
        <v>58.71</v>
      </c>
      <c r="Z73" s="273">
        <f ca="1">[1]ExtEntry!$F71</f>
        <v>58.71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45912.644570450779</v>
      </c>
      <c r="F74" s="271">
        <v>384.4</v>
      </c>
      <c r="G74" s="271">
        <v>384</v>
      </c>
      <c r="H74" s="271">
        <v>387.5</v>
      </c>
      <c r="I74" s="271">
        <v>390</v>
      </c>
      <c r="J74" s="271">
        <v>390</v>
      </c>
      <c r="K74" s="271">
        <v>393.9</v>
      </c>
      <c r="L74" s="271">
        <v>385.8</v>
      </c>
      <c r="M74" s="271">
        <v>394.6</v>
      </c>
      <c r="N74" s="271">
        <v>392.6</v>
      </c>
      <c r="O74" s="271">
        <v>384.6</v>
      </c>
      <c r="P74" s="271">
        <v>382.1</v>
      </c>
      <c r="Q74" s="271">
        <v>393.6</v>
      </c>
      <c r="R74" s="271">
        <v>380.8</v>
      </c>
      <c r="S74" s="271">
        <v>391</v>
      </c>
      <c r="T74" s="271">
        <v>390</v>
      </c>
      <c r="U74" s="271">
        <v>390.7</v>
      </c>
      <c r="V74" s="271">
        <v>394.2</v>
      </c>
      <c r="W74" s="272">
        <v>397.9</v>
      </c>
      <c r="X74" s="271">
        <v>381.7</v>
      </c>
      <c r="Y74" s="271">
        <v>382.3</v>
      </c>
      <c r="Z74" s="273">
        <f ca="1">[1]ExtEntry!$F72</f>
        <v>382.3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45912.856650265625</v>
      </c>
      <c r="F75" s="271">
        <v>26.89</v>
      </c>
      <c r="G75" s="271">
        <v>26.69</v>
      </c>
      <c r="H75" s="271">
        <v>28.02</v>
      </c>
      <c r="I75" s="271">
        <v>28.09</v>
      </c>
      <c r="J75" s="271">
        <v>28.09</v>
      </c>
      <c r="K75" s="271">
        <v>27.91</v>
      </c>
      <c r="L75" s="271">
        <v>27.12</v>
      </c>
      <c r="M75" s="271">
        <v>25.35</v>
      </c>
      <c r="N75" s="271">
        <v>24.73</v>
      </c>
      <c r="O75" s="271">
        <v>25.1</v>
      </c>
      <c r="P75" s="271">
        <v>24.47</v>
      </c>
      <c r="Q75" s="271">
        <v>24.09</v>
      </c>
      <c r="R75" s="271">
        <v>24.19</v>
      </c>
      <c r="S75" s="271">
        <v>24.19</v>
      </c>
      <c r="T75" s="271">
        <v>24.05</v>
      </c>
      <c r="U75" s="271">
        <v>25.14</v>
      </c>
      <c r="V75" s="271">
        <v>24.83</v>
      </c>
      <c r="W75" s="272">
        <v>24.47</v>
      </c>
      <c r="X75" s="271">
        <v>24.31</v>
      </c>
      <c r="Y75" s="271">
        <v>25.39</v>
      </c>
      <c r="Z75" s="273">
        <f ca="1">[1]ExtEntry!$F73</f>
        <v>25.39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45912.856228344528</v>
      </c>
      <c r="F76" s="271">
        <v>0.94099999999999995</v>
      </c>
      <c r="G76" s="271">
        <v>0.94199999999999995</v>
      </c>
      <c r="H76" s="271">
        <v>0.94010000000000005</v>
      </c>
      <c r="I76" s="271">
        <v>1.03</v>
      </c>
      <c r="J76" s="271">
        <v>1.03</v>
      </c>
      <c r="K76" s="271">
        <v>0.93010000000000004</v>
      </c>
      <c r="L76" s="271">
        <v>0.97</v>
      </c>
      <c r="M76" s="271">
        <v>1</v>
      </c>
      <c r="N76" s="271">
        <v>1.01</v>
      </c>
      <c r="O76" s="271">
        <v>1.04</v>
      </c>
      <c r="P76" s="271">
        <v>1.22</v>
      </c>
      <c r="Q76" s="271">
        <v>1.18</v>
      </c>
      <c r="R76" s="271">
        <v>1.1000000000000001</v>
      </c>
      <c r="S76" s="271">
        <v>1.1000000000000001</v>
      </c>
      <c r="T76" s="271">
        <v>1.0900000000000001</v>
      </c>
      <c r="U76" s="271">
        <v>1.02</v>
      </c>
      <c r="V76" s="271">
        <v>1.1000000000000001</v>
      </c>
      <c r="W76" s="272">
        <v>1.1399999999999999</v>
      </c>
      <c r="X76" s="271">
        <v>1.1299999999999999</v>
      </c>
      <c r="Y76" s="271">
        <v>1.25</v>
      </c>
      <c r="Z76" s="273">
        <f ca="1">[1]ExtEntry!$F74</f>
        <v>1.25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45912.666666666664</v>
      </c>
      <c r="F77" s="271">
        <v>14.94</v>
      </c>
      <c r="G77" s="271">
        <v>14.94</v>
      </c>
      <c r="H77" s="271">
        <v>14.972</v>
      </c>
      <c r="I77" s="271">
        <v>14.948</v>
      </c>
      <c r="J77" s="271">
        <v>14.948</v>
      </c>
      <c r="K77" s="271">
        <v>15.002000000000001</v>
      </c>
      <c r="L77" s="271">
        <v>15.228</v>
      </c>
      <c r="M77" s="271">
        <v>15.246</v>
      </c>
      <c r="N77" s="271">
        <v>15.19</v>
      </c>
      <c r="O77" s="271">
        <v>15.224</v>
      </c>
      <c r="P77" s="271">
        <v>15.242000000000001</v>
      </c>
      <c r="Q77" s="271">
        <v>15.318</v>
      </c>
      <c r="R77" s="271">
        <v>15.162000000000001</v>
      </c>
      <c r="S77" s="271">
        <v>14.888</v>
      </c>
      <c r="T77" s="271">
        <v>14.928000000000001</v>
      </c>
      <c r="U77" s="271">
        <v>14.625999999999999</v>
      </c>
      <c r="V77" s="271">
        <v>14.688000000000001</v>
      </c>
      <c r="W77" s="272">
        <v>14.944000000000001</v>
      </c>
      <c r="X77" s="271">
        <v>14.958</v>
      </c>
      <c r="Y77" s="271">
        <v>14.922000000000001</v>
      </c>
      <c r="Z77" s="273">
        <f ca="1">[1]ExtEntry!$F75</f>
        <v>14.922000000000001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2000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45912.640255358594</v>
      </c>
      <c r="F78" s="271">
        <v>504.4</v>
      </c>
      <c r="G78" s="271">
        <v>511.4</v>
      </c>
      <c r="H78" s="271">
        <v>515.79999999999995</v>
      </c>
      <c r="I78" s="271">
        <v>511.8</v>
      </c>
      <c r="J78" s="271">
        <v>511.8</v>
      </c>
      <c r="K78" s="271">
        <v>518.6</v>
      </c>
      <c r="L78" s="271">
        <v>502.8</v>
      </c>
      <c r="M78" s="271">
        <v>510.6</v>
      </c>
      <c r="N78" s="271">
        <v>506</v>
      </c>
      <c r="O78" s="271">
        <v>490.2</v>
      </c>
      <c r="P78" s="271">
        <v>489.6</v>
      </c>
      <c r="Q78" s="271">
        <v>489.2</v>
      </c>
      <c r="R78" s="271">
        <v>477.8</v>
      </c>
      <c r="S78" s="271">
        <v>486.8</v>
      </c>
      <c r="T78" s="271">
        <v>466.3</v>
      </c>
      <c r="U78" s="271">
        <v>469.8</v>
      </c>
      <c r="V78" s="271">
        <v>468.8</v>
      </c>
      <c r="W78" s="272">
        <v>471.4</v>
      </c>
      <c r="X78" s="271">
        <v>461.1</v>
      </c>
      <c r="Y78" s="271">
        <v>465.6</v>
      </c>
      <c r="Z78" s="273">
        <f ca="1">[1]ExtEntry!$F76</f>
        <v>465.6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40000</v>
      </c>
      <c r="AN78" s="404">
        <v>40000</v>
      </c>
      <c r="AO78" s="404">
        <v>40000</v>
      </c>
      <c r="AP78" s="404">
        <v>40000</v>
      </c>
      <c r="AQ78" s="404">
        <v>20000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45912.856394767972</v>
      </c>
      <c r="F79" s="271">
        <v>11.44</v>
      </c>
      <c r="G79" s="271">
        <v>11.44</v>
      </c>
      <c r="H79" s="271">
        <v>11.44</v>
      </c>
      <c r="I79" s="271">
        <v>11.46</v>
      </c>
      <c r="J79" s="271">
        <v>11.46</v>
      </c>
      <c r="K79" s="271">
        <v>11.58</v>
      </c>
      <c r="L79" s="271">
        <v>11.74</v>
      </c>
      <c r="M79" s="271">
        <v>11.82</v>
      </c>
      <c r="N79" s="271">
        <v>11.84</v>
      </c>
      <c r="O79" s="271">
        <v>11.91</v>
      </c>
      <c r="P79" s="271">
        <v>11.71</v>
      </c>
      <c r="Q79" s="271">
        <v>11.77</v>
      </c>
      <c r="R79" s="271">
        <v>11.72</v>
      </c>
      <c r="S79" s="271">
        <v>11.72</v>
      </c>
      <c r="T79" s="271">
        <v>11.62</v>
      </c>
      <c r="U79" s="271">
        <v>11.74</v>
      </c>
      <c r="V79" s="271">
        <v>11.69</v>
      </c>
      <c r="W79" s="272">
        <v>11.49</v>
      </c>
      <c r="X79" s="271">
        <v>11.42</v>
      </c>
      <c r="Y79" s="271">
        <v>11.76</v>
      </c>
      <c r="Z79" s="273">
        <f ca="1">[1]ExtEntry!$F77</f>
        <v>11.76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3000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45912.666666666664</v>
      </c>
      <c r="F80" s="271">
        <v>57.72</v>
      </c>
      <c r="G80" s="271">
        <v>58.5</v>
      </c>
      <c r="H80" s="271">
        <v>58.78</v>
      </c>
      <c r="I80" s="271">
        <v>57.76</v>
      </c>
      <c r="J80" s="271">
        <v>57.76</v>
      </c>
      <c r="K80" s="271">
        <v>58.32</v>
      </c>
      <c r="L80" s="271">
        <v>57.84</v>
      </c>
      <c r="M80" s="271">
        <v>55.82</v>
      </c>
      <c r="N80" s="271">
        <v>52</v>
      </c>
      <c r="O80" s="271">
        <v>52</v>
      </c>
      <c r="P80" s="271">
        <v>52.72</v>
      </c>
      <c r="Q80" s="271">
        <v>53.2</v>
      </c>
      <c r="R80" s="271">
        <v>52.5</v>
      </c>
      <c r="S80" s="271">
        <v>52.82</v>
      </c>
      <c r="T80" s="271">
        <v>54.08</v>
      </c>
      <c r="U80" s="271">
        <v>53.04</v>
      </c>
      <c r="V80" s="271">
        <v>53.76</v>
      </c>
      <c r="W80" s="272">
        <v>54.32</v>
      </c>
      <c r="X80" s="271">
        <v>55.82</v>
      </c>
      <c r="Y80" s="271">
        <v>57.6</v>
      </c>
      <c r="Z80" s="273">
        <f ca="1">[1]ExtEntry!$F78</f>
        <v>57.6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45912.855574293753</v>
      </c>
      <c r="F81" s="271">
        <v>202.85</v>
      </c>
      <c r="G81" s="271">
        <v>198.97</v>
      </c>
      <c r="H81" s="271">
        <v>198.8</v>
      </c>
      <c r="I81" s="271">
        <v>198.14</v>
      </c>
      <c r="J81" s="271">
        <v>198.14</v>
      </c>
      <c r="K81" s="271">
        <v>199.08</v>
      </c>
      <c r="L81" s="271">
        <v>194.64</v>
      </c>
      <c r="M81" s="271">
        <v>193.28</v>
      </c>
      <c r="N81" s="271">
        <v>189.32</v>
      </c>
      <c r="O81" s="271">
        <v>186.99</v>
      </c>
      <c r="P81" s="271">
        <v>186.92</v>
      </c>
      <c r="Q81" s="271">
        <v>185.25</v>
      </c>
      <c r="R81" s="271">
        <v>179.51</v>
      </c>
      <c r="S81" s="271">
        <v>179.51</v>
      </c>
      <c r="T81" s="271">
        <v>175.14</v>
      </c>
      <c r="U81" s="271">
        <v>181.3</v>
      </c>
      <c r="V81" s="271">
        <v>183.97</v>
      </c>
      <c r="W81" s="272">
        <v>181.8</v>
      </c>
      <c r="X81" s="271">
        <v>185.01</v>
      </c>
      <c r="Y81" s="271">
        <v>187.86</v>
      </c>
      <c r="Z81" s="273">
        <f ca="1">[1]ExtEntry!$F79</f>
        <v>187.86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45912.853591874999</v>
      </c>
      <c r="F82" s="271">
        <v>744.69</v>
      </c>
      <c r="G82" s="271">
        <v>747.2</v>
      </c>
      <c r="H82" s="271">
        <v>730.72</v>
      </c>
      <c r="I82" s="271">
        <v>730.96</v>
      </c>
      <c r="J82" s="271">
        <v>730.96</v>
      </c>
      <c r="K82" s="271">
        <v>721.38</v>
      </c>
      <c r="L82" s="271">
        <v>741.89</v>
      </c>
      <c r="M82" s="271">
        <v>738.79</v>
      </c>
      <c r="N82" s="271">
        <v>748.95</v>
      </c>
      <c r="O82" s="271">
        <v>749.67</v>
      </c>
      <c r="P82" s="271">
        <v>747.22</v>
      </c>
      <c r="Q82" s="271">
        <v>745.25</v>
      </c>
      <c r="R82" s="271">
        <v>730.85</v>
      </c>
      <c r="S82" s="271">
        <v>730.85</v>
      </c>
      <c r="T82" s="271">
        <v>730.56</v>
      </c>
      <c r="U82" s="271">
        <v>738.21</v>
      </c>
      <c r="V82" s="271">
        <v>741.85</v>
      </c>
      <c r="W82" s="272">
        <v>763.92</v>
      </c>
      <c r="X82" s="271">
        <v>769.58</v>
      </c>
      <c r="Y82" s="271">
        <v>784.73</v>
      </c>
      <c r="Z82" s="273">
        <f ca="1">[1]ExtEntry!$F80</f>
        <v>784.73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45912.856546481249</v>
      </c>
      <c r="F83" s="271">
        <v>2.54</v>
      </c>
      <c r="G83" s="271">
        <v>2.46</v>
      </c>
      <c r="H83" s="271">
        <v>2.2999999999999998</v>
      </c>
      <c r="I83" s="271">
        <v>2.15</v>
      </c>
      <c r="J83" s="271">
        <v>2.15</v>
      </c>
      <c r="K83" s="271">
        <v>1.9750000000000001</v>
      </c>
      <c r="L83" s="271">
        <v>2</v>
      </c>
      <c r="M83" s="271">
        <v>1.94</v>
      </c>
      <c r="N83" s="271">
        <v>1.84</v>
      </c>
      <c r="O83" s="271">
        <v>1.84</v>
      </c>
      <c r="P83" s="271">
        <v>1.76</v>
      </c>
      <c r="Q83" s="271">
        <v>1.7</v>
      </c>
      <c r="R83" s="271">
        <v>1.63</v>
      </c>
      <c r="S83" s="271">
        <v>1.63</v>
      </c>
      <c r="T83" s="271">
        <v>1.65</v>
      </c>
      <c r="U83" s="271">
        <v>1.66</v>
      </c>
      <c r="V83" s="271">
        <v>1.71</v>
      </c>
      <c r="W83" s="272">
        <v>1.71</v>
      </c>
      <c r="X83" s="271">
        <v>1.68</v>
      </c>
      <c r="Y83" s="271">
        <v>1.77</v>
      </c>
      <c r="Z83" s="273">
        <f ca="1">[1]ExtEntry!$F81</f>
        <v>1.77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45912.855863055469</v>
      </c>
      <c r="F84" s="271">
        <v>30.97</v>
      </c>
      <c r="G84" s="271">
        <v>30.7</v>
      </c>
      <c r="H84" s="271">
        <v>31.5</v>
      </c>
      <c r="I84" s="271">
        <v>31.31</v>
      </c>
      <c r="J84" s="271">
        <v>31.31</v>
      </c>
      <c r="K84" s="271">
        <v>31.59</v>
      </c>
      <c r="L84" s="271">
        <v>32.770000000000003</v>
      </c>
      <c r="M84" s="271">
        <v>32.520000000000003</v>
      </c>
      <c r="N84" s="271">
        <v>33.4</v>
      </c>
      <c r="O84" s="271">
        <v>33.19</v>
      </c>
      <c r="P84" s="271">
        <v>32.979999999999997</v>
      </c>
      <c r="Q84" s="271">
        <v>32.9</v>
      </c>
      <c r="R84" s="271">
        <v>32.07</v>
      </c>
      <c r="S84" s="271">
        <v>32.07</v>
      </c>
      <c r="T84" s="271">
        <v>32.33</v>
      </c>
      <c r="U84" s="271">
        <v>31.39</v>
      </c>
      <c r="V84" s="271">
        <v>31.71</v>
      </c>
      <c r="W84" s="272">
        <v>30.99</v>
      </c>
      <c r="X84" s="271">
        <v>31.11</v>
      </c>
      <c r="Y84" s="271">
        <v>31.72</v>
      </c>
      <c r="Z84" s="273">
        <f ca="1">[1]ExtEntry!$F82</f>
        <v>31.72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45912.85604173594</v>
      </c>
      <c r="F85" s="271">
        <v>577.9</v>
      </c>
      <c r="G85" s="271">
        <v>583.76</v>
      </c>
      <c r="H85" s="271">
        <v>581.70000000000005</v>
      </c>
      <c r="I85" s="271">
        <v>584.14</v>
      </c>
      <c r="J85" s="271">
        <v>584.14</v>
      </c>
      <c r="K85" s="271">
        <v>585.51</v>
      </c>
      <c r="L85" s="271">
        <v>598.96</v>
      </c>
      <c r="M85" s="271">
        <v>593.21</v>
      </c>
      <c r="N85" s="271">
        <v>591.61</v>
      </c>
      <c r="O85" s="271">
        <v>590.66</v>
      </c>
      <c r="P85" s="271">
        <v>590.48</v>
      </c>
      <c r="Q85" s="271">
        <v>595.29</v>
      </c>
      <c r="R85" s="271">
        <v>591.87</v>
      </c>
      <c r="S85" s="271">
        <v>591.87</v>
      </c>
      <c r="T85" s="271">
        <v>593.28</v>
      </c>
      <c r="U85" s="271">
        <v>584.22</v>
      </c>
      <c r="V85" s="271">
        <v>586.6</v>
      </c>
      <c r="W85" s="272">
        <v>584</v>
      </c>
      <c r="X85" s="271">
        <v>579.38</v>
      </c>
      <c r="Y85" s="271">
        <v>588.73</v>
      </c>
      <c r="Z85" s="273">
        <f ca="1">[1]ExtEntry!$F83</f>
        <v>588.73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45912.856271735938</v>
      </c>
      <c r="F86" s="271">
        <v>8.85</v>
      </c>
      <c r="G86" s="271">
        <v>9.43</v>
      </c>
      <c r="H86" s="271">
        <v>9.58</v>
      </c>
      <c r="I86" s="271">
        <v>9.7100000000000009</v>
      </c>
      <c r="J86" s="271">
        <v>9.7100000000000009</v>
      </c>
      <c r="K86" s="271">
        <v>9.52</v>
      </c>
      <c r="L86" s="271">
        <v>7.84</v>
      </c>
      <c r="M86" s="271">
        <v>7.52</v>
      </c>
      <c r="N86" s="271">
        <v>7.5</v>
      </c>
      <c r="O86" s="271">
        <v>7.58</v>
      </c>
      <c r="P86" s="271">
        <v>7.58</v>
      </c>
      <c r="Q86" s="271">
        <v>7.47</v>
      </c>
      <c r="R86" s="271">
        <v>7.55</v>
      </c>
      <c r="S86" s="271">
        <v>7.55</v>
      </c>
      <c r="T86" s="271">
        <v>7.4</v>
      </c>
      <c r="U86" s="271">
        <v>7.9</v>
      </c>
      <c r="V86" s="271">
        <v>7.73</v>
      </c>
      <c r="W86" s="272">
        <v>7.96</v>
      </c>
      <c r="X86" s="271">
        <v>7.96</v>
      </c>
      <c r="Y86" s="271">
        <v>8.2799999999999994</v>
      </c>
      <c r="Z86" s="273">
        <f ca="1">[1]ExtEntry!$F84</f>
        <v>8.2799999999999994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45912.850967291408</v>
      </c>
      <c r="F87" s="271">
        <v>121.2</v>
      </c>
      <c r="G87" s="271">
        <v>122.09</v>
      </c>
      <c r="H87" s="271">
        <v>124.21</v>
      </c>
      <c r="I87" s="271">
        <v>124.01</v>
      </c>
      <c r="J87" s="271">
        <v>124.01</v>
      </c>
      <c r="K87" s="271">
        <v>124.95</v>
      </c>
      <c r="L87" s="271">
        <v>126.98</v>
      </c>
      <c r="M87" s="271">
        <v>125.04</v>
      </c>
      <c r="N87" s="271">
        <v>126.64</v>
      </c>
      <c r="O87" s="271">
        <v>126.89</v>
      </c>
      <c r="P87" s="271">
        <v>126.47</v>
      </c>
      <c r="Q87" s="271">
        <v>126.55</v>
      </c>
      <c r="R87" s="271">
        <v>126.64</v>
      </c>
      <c r="S87" s="271">
        <v>126.64</v>
      </c>
      <c r="T87" s="271">
        <v>128.22999999999999</v>
      </c>
      <c r="U87" s="271">
        <v>129.72999999999999</v>
      </c>
      <c r="V87" s="271">
        <v>128.71</v>
      </c>
      <c r="W87" s="272">
        <v>128.05000000000001</v>
      </c>
      <c r="X87" s="271">
        <v>126.55</v>
      </c>
      <c r="Y87" s="271">
        <v>127.7</v>
      </c>
      <c r="Z87" s="273">
        <f ca="1">[1]ExtEntry!$F85</f>
        <v>127.7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45912.666666666664</v>
      </c>
      <c r="F88" s="271">
        <v>14.3</v>
      </c>
      <c r="G88" s="271">
        <v>14.41</v>
      </c>
      <c r="H88" s="271">
        <v>14.44</v>
      </c>
      <c r="I88" s="271">
        <v>14.484999999999999</v>
      </c>
      <c r="J88" s="271">
        <v>14.484999999999999</v>
      </c>
      <c r="K88" s="271">
        <v>14.385</v>
      </c>
      <c r="L88" s="271">
        <v>14.48</v>
      </c>
      <c r="M88" s="271">
        <v>14.215</v>
      </c>
      <c r="N88" s="271">
        <v>13.875</v>
      </c>
      <c r="O88" s="271">
        <v>13.86</v>
      </c>
      <c r="P88" s="271">
        <v>13.9</v>
      </c>
      <c r="Q88" s="271">
        <v>13.89</v>
      </c>
      <c r="R88" s="271">
        <v>13.785</v>
      </c>
      <c r="S88" s="271">
        <v>13.525</v>
      </c>
      <c r="T88" s="271">
        <v>13.715</v>
      </c>
      <c r="U88" s="271">
        <v>13.625</v>
      </c>
      <c r="V88" s="271">
        <v>13.525</v>
      </c>
      <c r="W88" s="272">
        <v>13.67</v>
      </c>
      <c r="X88" s="271">
        <v>13.72</v>
      </c>
      <c r="Y88" s="271">
        <v>13.89</v>
      </c>
      <c r="Z88" s="273">
        <f ca="1">[1]ExtEntry!$F86</f>
        <v>13.89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45912.85660352969</v>
      </c>
      <c r="F89" s="271">
        <v>44.75</v>
      </c>
      <c r="G89" s="271">
        <v>44.77</v>
      </c>
      <c r="H89" s="271">
        <v>44.61</v>
      </c>
      <c r="I89" s="271">
        <v>44.21</v>
      </c>
      <c r="J89" s="271">
        <v>44.21</v>
      </c>
      <c r="K89" s="271">
        <v>43.96</v>
      </c>
      <c r="L89" s="271">
        <v>45.83</v>
      </c>
      <c r="M89" s="271">
        <v>46.4</v>
      </c>
      <c r="N89" s="271">
        <v>46.04</v>
      </c>
      <c r="O89" s="271">
        <v>46.87</v>
      </c>
      <c r="P89" s="271">
        <v>47.51</v>
      </c>
      <c r="Q89" s="271">
        <v>47.61</v>
      </c>
      <c r="R89" s="271">
        <v>48.05</v>
      </c>
      <c r="S89" s="271">
        <v>48.05</v>
      </c>
      <c r="T89" s="271">
        <v>46.3</v>
      </c>
      <c r="U89" s="271">
        <v>45.91</v>
      </c>
      <c r="V89" s="271">
        <v>45.38</v>
      </c>
      <c r="W89" s="272">
        <v>44.9</v>
      </c>
      <c r="X89" s="271">
        <v>46.31</v>
      </c>
      <c r="Y89" s="271">
        <v>46.02</v>
      </c>
      <c r="Z89" s="273">
        <f ca="1">[1]ExtEntry!$F87</f>
        <v>46.02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45912.856603830471</v>
      </c>
      <c r="F90" s="271">
        <v>25.16</v>
      </c>
      <c r="G90" s="271">
        <v>25.11</v>
      </c>
      <c r="H90" s="271">
        <v>25.14</v>
      </c>
      <c r="I90" s="271">
        <v>25.07</v>
      </c>
      <c r="J90" s="271">
        <v>25.07</v>
      </c>
      <c r="K90" s="271">
        <v>25.32</v>
      </c>
      <c r="L90" s="271">
        <v>25.88</v>
      </c>
      <c r="M90" s="271">
        <v>25.14</v>
      </c>
      <c r="N90" s="271">
        <v>24.92</v>
      </c>
      <c r="O90" s="271">
        <v>25.07</v>
      </c>
      <c r="P90" s="271">
        <v>24.6</v>
      </c>
      <c r="Q90" s="271">
        <v>24.76</v>
      </c>
      <c r="R90" s="271">
        <v>24.98</v>
      </c>
      <c r="S90" s="271">
        <v>24.98</v>
      </c>
      <c r="T90" s="271">
        <v>24.79</v>
      </c>
      <c r="U90" s="271">
        <v>24.88</v>
      </c>
      <c r="V90" s="271">
        <v>24.55</v>
      </c>
      <c r="W90" s="272">
        <v>24.71</v>
      </c>
      <c r="X90" s="271">
        <v>24.57</v>
      </c>
      <c r="Y90" s="271">
        <v>24.86</v>
      </c>
      <c r="Z90" s="273">
        <f ca="1">[1]ExtEntry!$F88</f>
        <v>24.86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45912.855192950781</v>
      </c>
      <c r="F91" s="271">
        <v>3.01</v>
      </c>
      <c r="G91" s="271">
        <v>3.01</v>
      </c>
      <c r="H91" s="271">
        <v>2.95</v>
      </c>
      <c r="I91" s="271">
        <v>2.95</v>
      </c>
      <c r="J91" s="271">
        <v>2.95</v>
      </c>
      <c r="K91" s="271">
        <v>2.84</v>
      </c>
      <c r="L91" s="271">
        <v>3.04</v>
      </c>
      <c r="M91" s="271">
        <v>3.1</v>
      </c>
      <c r="N91" s="271">
        <v>3.04</v>
      </c>
      <c r="O91" s="271">
        <v>3.17</v>
      </c>
      <c r="P91" s="271">
        <v>3.1</v>
      </c>
      <c r="Q91" s="271">
        <v>3.03</v>
      </c>
      <c r="R91" s="271">
        <v>3.06</v>
      </c>
      <c r="S91" s="271">
        <v>3.06</v>
      </c>
      <c r="T91" s="271">
        <v>2.99</v>
      </c>
      <c r="U91" s="271">
        <v>3.07</v>
      </c>
      <c r="V91" s="271">
        <v>3.16</v>
      </c>
      <c r="W91" s="272">
        <v>3.14</v>
      </c>
      <c r="X91" s="271">
        <v>3.24</v>
      </c>
      <c r="Y91" s="271">
        <v>3.26</v>
      </c>
      <c r="Z91" s="273">
        <f ca="1">[1]ExtEntry!$F89</f>
        <v>3.26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45912.840323263285</v>
      </c>
      <c r="F92" s="271">
        <v>34.380000000000003</v>
      </c>
      <c r="G92" s="271">
        <v>34.24</v>
      </c>
      <c r="H92" s="271">
        <v>34.380000000000003</v>
      </c>
      <c r="I92" s="271">
        <v>33.119999999999997</v>
      </c>
      <c r="J92" s="271">
        <v>33.119999999999997</v>
      </c>
      <c r="K92" s="271">
        <v>32.79</v>
      </c>
      <c r="L92" s="271">
        <v>33.35</v>
      </c>
      <c r="M92" s="271">
        <v>33.4</v>
      </c>
      <c r="N92" s="271">
        <v>33.97</v>
      </c>
      <c r="O92" s="271">
        <v>33.83</v>
      </c>
      <c r="P92" s="271">
        <v>34.44</v>
      </c>
      <c r="Q92" s="271">
        <v>34.270000000000003</v>
      </c>
      <c r="R92" s="271">
        <v>34.64</v>
      </c>
      <c r="S92" s="271">
        <v>34.64</v>
      </c>
      <c r="T92" s="271">
        <v>34.35</v>
      </c>
      <c r="U92" s="271">
        <v>34.700000000000003</v>
      </c>
      <c r="V92" s="271">
        <v>34.06</v>
      </c>
      <c r="W92" s="272">
        <v>34.299999999999997</v>
      </c>
      <c r="X92" s="271">
        <v>34.840000000000003</v>
      </c>
      <c r="Y92" s="271">
        <v>35.090000000000003</v>
      </c>
      <c r="Z92" s="273">
        <f ca="1">[1]ExtEntry!$F90</f>
        <v>35.090000000000003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45912.856617534373</v>
      </c>
      <c r="F93" s="263">
        <v>76.95</v>
      </c>
      <c r="G93" s="263">
        <v>76.040000000000006</v>
      </c>
      <c r="H93" s="263">
        <v>75.8</v>
      </c>
      <c r="I93" s="263">
        <v>76.73</v>
      </c>
      <c r="J93" s="263">
        <v>76.73</v>
      </c>
      <c r="K93" s="263">
        <v>74.3</v>
      </c>
      <c r="L93" s="263">
        <v>79.12</v>
      </c>
      <c r="M93" s="263">
        <v>79.08</v>
      </c>
      <c r="N93" s="263">
        <v>78.78</v>
      </c>
      <c r="O93" s="263">
        <v>79.39</v>
      </c>
      <c r="P93" s="263">
        <v>80.78</v>
      </c>
      <c r="Q93" s="263">
        <v>79.64</v>
      </c>
      <c r="R93" s="263">
        <v>76.23</v>
      </c>
      <c r="S93" s="263">
        <v>76.23</v>
      </c>
      <c r="T93" s="263">
        <v>75.790000000000006</v>
      </c>
      <c r="U93" s="263">
        <v>74.94</v>
      </c>
      <c r="V93" s="263">
        <v>75.819999999999993</v>
      </c>
      <c r="W93" s="264">
        <v>75.510000000000005</v>
      </c>
      <c r="X93" s="263">
        <v>73.75</v>
      </c>
      <c r="Y93" s="263">
        <v>74.23</v>
      </c>
      <c r="Z93" s="265">
        <f ca="1">[1]ExtEntry!$F91</f>
        <v>74.23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45912.854751700783</v>
      </c>
      <c r="F94" s="271">
        <v>171.87</v>
      </c>
      <c r="G94" s="271">
        <v>172.36</v>
      </c>
      <c r="H94" s="271">
        <v>172.02</v>
      </c>
      <c r="I94" s="271">
        <v>171.33</v>
      </c>
      <c r="J94" s="271">
        <v>171.33</v>
      </c>
      <c r="K94" s="271">
        <v>178.03</v>
      </c>
      <c r="L94" s="271">
        <v>179.5</v>
      </c>
      <c r="M94" s="271">
        <v>180.23</v>
      </c>
      <c r="N94" s="271">
        <v>180.04</v>
      </c>
      <c r="O94" s="271">
        <v>181.95</v>
      </c>
      <c r="P94" s="271">
        <v>184.53</v>
      </c>
      <c r="Q94" s="271">
        <v>184.33</v>
      </c>
      <c r="R94" s="271">
        <v>185.35</v>
      </c>
      <c r="S94" s="271">
        <v>185.35</v>
      </c>
      <c r="T94" s="271">
        <v>186.91</v>
      </c>
      <c r="U94" s="271">
        <v>196.18</v>
      </c>
      <c r="V94" s="271">
        <v>192.47</v>
      </c>
      <c r="W94" s="272">
        <v>196.39</v>
      </c>
      <c r="X94" s="271">
        <v>191.78</v>
      </c>
      <c r="Y94" s="271">
        <v>193.38</v>
      </c>
      <c r="Z94" s="273">
        <f ca="1">[1]ExtEntry!$F92</f>
        <v>193.38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2450</v>
      </c>
      <c r="AR94" s="404">
        <v>2200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45912.770833333336</v>
      </c>
      <c r="F96" s="271">
        <v>16</v>
      </c>
      <c r="G96" s="271">
        <v>15.984999999999999</v>
      </c>
      <c r="H96" s="271">
        <v>15.785</v>
      </c>
      <c r="I96" s="271">
        <v>15.765000000000001</v>
      </c>
      <c r="J96" s="271">
        <v>15.765000000000001</v>
      </c>
      <c r="K96" s="271">
        <v>15.695</v>
      </c>
      <c r="L96" s="271">
        <v>15.445</v>
      </c>
      <c r="M96" s="271">
        <v>15.414999999999999</v>
      </c>
      <c r="N96" s="271">
        <v>15.57</v>
      </c>
      <c r="O96" s="271">
        <v>15.675000000000001</v>
      </c>
      <c r="P96" s="271">
        <v>15.244999999999999</v>
      </c>
      <c r="Q96" s="271">
        <v>15.06</v>
      </c>
      <c r="R96" s="271">
        <v>14.715</v>
      </c>
      <c r="S96" s="271">
        <v>14.84</v>
      </c>
      <c r="T96" s="271">
        <v>14.925000000000001</v>
      </c>
      <c r="U96" s="271">
        <v>15.175000000000001</v>
      </c>
      <c r="V96" s="271">
        <v>15.345000000000001</v>
      </c>
      <c r="W96" s="272">
        <v>15.305</v>
      </c>
      <c r="X96" s="271">
        <v>15.33</v>
      </c>
      <c r="Y96" s="271">
        <v>15.295</v>
      </c>
      <c r="Z96" s="273">
        <f ca="1">[1]ExtEntry!$F94</f>
        <v>15.295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17000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45912.731348622656</v>
      </c>
      <c r="F97" s="367">
        <v>9.7279999999999998</v>
      </c>
      <c r="G97" s="367">
        <v>9.5630000000000006</v>
      </c>
      <c r="H97" s="367">
        <v>9.6180000000000003</v>
      </c>
      <c r="I97" s="367">
        <v>9.6720000000000006</v>
      </c>
      <c r="J97" s="367">
        <v>9.6720000000000006</v>
      </c>
      <c r="K97" s="367">
        <v>9.6560000000000006</v>
      </c>
      <c r="L97" s="367">
        <v>9.548</v>
      </c>
      <c r="M97" s="368">
        <v>9.8049999999999997</v>
      </c>
      <c r="N97" s="369">
        <v>9.69</v>
      </c>
      <c r="O97" s="367">
        <v>9.8710000000000004</v>
      </c>
      <c r="P97" s="367">
        <v>9.9864999999999995</v>
      </c>
      <c r="Q97" s="367">
        <v>9.9909999999999997</v>
      </c>
      <c r="R97" s="367">
        <v>9.7989999999999995</v>
      </c>
      <c r="S97" s="370">
        <v>9.8454999999999995</v>
      </c>
      <c r="T97" s="367">
        <v>9.9350000000000005</v>
      </c>
      <c r="U97" s="367">
        <v>10.032</v>
      </c>
      <c r="V97" s="367">
        <v>10.172000000000001</v>
      </c>
      <c r="W97" s="264">
        <v>10.19</v>
      </c>
      <c r="X97" s="368">
        <v>10.29</v>
      </c>
      <c r="Y97" s="371">
        <v>10.398</v>
      </c>
      <c r="Z97" s="265">
        <f ca="1">[1]ExtEntry!$F95</f>
        <v>10.398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45912.856644582811</v>
      </c>
      <c r="F102" s="128">
        <f t="shared" ref="F102:Z102" si="3">F3</f>
        <v>45887</v>
      </c>
      <c r="G102" s="128">
        <f t="shared" si="3"/>
        <v>45888</v>
      </c>
      <c r="H102" s="128">
        <f t="shared" si="3"/>
        <v>45889</v>
      </c>
      <c r="I102" s="128">
        <f t="shared" si="3"/>
        <v>45890</v>
      </c>
      <c r="J102" s="128">
        <f t="shared" si="3"/>
        <v>45891</v>
      </c>
      <c r="K102" s="128">
        <f t="shared" si="3"/>
        <v>45894</v>
      </c>
      <c r="L102" s="128">
        <f t="shared" si="3"/>
        <v>45895</v>
      </c>
      <c r="M102" s="128">
        <f t="shared" si="3"/>
        <v>45896</v>
      </c>
      <c r="N102" s="128">
        <f t="shared" si="3"/>
        <v>45897</v>
      </c>
      <c r="O102" s="128">
        <f t="shared" si="3"/>
        <v>45898</v>
      </c>
      <c r="P102" s="128">
        <f t="shared" si="3"/>
        <v>45901</v>
      </c>
      <c r="Q102" s="128">
        <f t="shared" si="3"/>
        <v>45902</v>
      </c>
      <c r="R102" s="128">
        <f t="shared" si="3"/>
        <v>45903</v>
      </c>
      <c r="S102" s="128">
        <f t="shared" si="3"/>
        <v>45904</v>
      </c>
      <c r="T102" s="128">
        <f t="shared" si="3"/>
        <v>45905</v>
      </c>
      <c r="U102" s="128">
        <f t="shared" si="3"/>
        <v>45908</v>
      </c>
      <c r="V102" s="128">
        <f t="shared" si="3"/>
        <v>45909</v>
      </c>
      <c r="W102" s="128">
        <f t="shared" si="3"/>
        <v>45910</v>
      </c>
      <c r="X102" s="128">
        <f t="shared" si="3"/>
        <v>45911</v>
      </c>
      <c r="Y102" s="128">
        <f t="shared" si="3"/>
        <v>45912</v>
      </c>
      <c r="Z102" s="128">
        <f t="shared" ca="1" si="3"/>
        <v>45912</v>
      </c>
      <c r="AB102" s="128">
        <f t="shared" ref="AB102:AV102" si="4">F102</f>
        <v>45887</v>
      </c>
      <c r="AC102" s="128">
        <f t="shared" si="4"/>
        <v>45888</v>
      </c>
      <c r="AD102" s="128">
        <f t="shared" si="4"/>
        <v>45889</v>
      </c>
      <c r="AE102" s="128">
        <f t="shared" si="4"/>
        <v>45890</v>
      </c>
      <c r="AF102" s="128">
        <f t="shared" si="4"/>
        <v>45891</v>
      </c>
      <c r="AG102" s="128">
        <f t="shared" si="4"/>
        <v>45894</v>
      </c>
      <c r="AH102" s="128">
        <f t="shared" si="4"/>
        <v>45895</v>
      </c>
      <c r="AI102" s="128">
        <f t="shared" si="4"/>
        <v>45896</v>
      </c>
      <c r="AJ102" s="128">
        <f t="shared" si="4"/>
        <v>45897</v>
      </c>
      <c r="AK102" s="128">
        <f t="shared" si="4"/>
        <v>45898</v>
      </c>
      <c r="AL102" s="128">
        <f t="shared" si="4"/>
        <v>45901</v>
      </c>
      <c r="AM102" s="128">
        <f t="shared" si="4"/>
        <v>45902</v>
      </c>
      <c r="AN102" s="128">
        <f t="shared" si="4"/>
        <v>45903</v>
      </c>
      <c r="AO102" s="128">
        <f t="shared" si="4"/>
        <v>45904</v>
      </c>
      <c r="AP102" s="128">
        <f t="shared" si="4"/>
        <v>45905</v>
      </c>
      <c r="AQ102" s="128">
        <f t="shared" si="4"/>
        <v>45908</v>
      </c>
      <c r="AR102" s="128">
        <f t="shared" si="4"/>
        <v>45909</v>
      </c>
      <c r="AS102" s="128">
        <f t="shared" si="4"/>
        <v>45910</v>
      </c>
      <c r="AT102" s="128">
        <f t="shared" si="4"/>
        <v>45911</v>
      </c>
      <c r="AU102" s="128">
        <f t="shared" si="4"/>
        <v>45912</v>
      </c>
      <c r="AV102" s="128">
        <f t="shared" ca="1" si="4"/>
        <v>45912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234.13</v>
      </c>
      <c r="G104" s="263">
        <v>233.98</v>
      </c>
      <c r="H104" s="263">
        <v>231.72</v>
      </c>
      <c r="I104" s="263">
        <v>231.3</v>
      </c>
      <c r="J104" s="263">
        <v>231.3</v>
      </c>
      <c r="K104" s="263">
        <v>229.98</v>
      </c>
      <c r="L104" s="263">
        <v>226.48</v>
      </c>
      <c r="M104" s="263">
        <v>226.87</v>
      </c>
      <c r="N104" s="263">
        <v>228.61</v>
      </c>
      <c r="O104" s="263">
        <v>230.81</v>
      </c>
      <c r="P104" s="263">
        <v>232.51</v>
      </c>
      <c r="Q104" s="263">
        <v>229.49</v>
      </c>
      <c r="R104" s="263">
        <v>237.12</v>
      </c>
      <c r="S104" s="263">
        <v>237.21</v>
      </c>
      <c r="T104" s="263">
        <v>238.45</v>
      </c>
      <c r="U104" s="263">
        <v>239.3</v>
      </c>
      <c r="V104" s="263">
        <v>237</v>
      </c>
      <c r="W104" s="263">
        <v>232.185</v>
      </c>
      <c r="X104" s="263">
        <v>226.75</v>
      </c>
      <c r="Y104" s="263">
        <v>229.22</v>
      </c>
      <c r="Z104" s="265">
        <f ca="1">[1]ExtEntry!$G3</f>
        <v>229.22</v>
      </c>
      <c r="AB104" s="281">
        <v>0.4679899058793876</v>
      </c>
      <c r="AC104" s="281">
        <v>0.28061842912001222</v>
      </c>
      <c r="AD104" s="281">
        <v>0.16991898993026117</v>
      </c>
      <c r="AE104" s="281">
        <v>0.43683329912743851</v>
      </c>
      <c r="AF104" s="281">
        <v>0.43683329912743851</v>
      </c>
      <c r="AG104" s="281">
        <v>0.70286736807757599</v>
      </c>
      <c r="AH104" s="281">
        <v>0.52635814402176995</v>
      </c>
      <c r="AI104" s="281">
        <v>0.93946029689000499</v>
      </c>
      <c r="AJ104" s="281">
        <v>0.51678701197535704</v>
      </c>
      <c r="AK104" s="281">
        <v>0.17646069972031245</v>
      </c>
      <c r="AL104" s="281">
        <v>0.69013040097861644</v>
      </c>
      <c r="AM104" s="281">
        <v>0.27741244512504371</v>
      </c>
      <c r="AN104" s="281">
        <v>0.31137574114550354</v>
      </c>
      <c r="AO104" s="281">
        <v>2.3413980136663274E-3</v>
      </c>
      <c r="AP104" s="281">
        <v>4.020666610004351E-2</v>
      </c>
      <c r="AQ104" s="281">
        <v>0.85297133792161239</v>
      </c>
      <c r="AR104" s="281">
        <v>1.1892945151637973</v>
      </c>
      <c r="AS104" s="281">
        <v>1.5235630371976872</v>
      </c>
      <c r="AT104" s="281">
        <v>0.72083341423062686</v>
      </c>
      <c r="AU104" s="281">
        <v>1.0247636500725472</v>
      </c>
      <c r="AV104" s="281">
        <f ca="1">Calc!AY3</f>
        <v>1.0247636500725472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15.05</v>
      </c>
      <c r="G105" s="271">
        <v>14.98</v>
      </c>
      <c r="H105" s="271">
        <v>14.94</v>
      </c>
      <c r="I105" s="271">
        <v>15.25</v>
      </c>
      <c r="J105" s="271">
        <v>15.25</v>
      </c>
      <c r="K105" s="271">
        <v>14.69</v>
      </c>
      <c r="L105" s="271">
        <v>15.51</v>
      </c>
      <c r="M105" s="271">
        <v>15.53</v>
      </c>
      <c r="N105" s="271">
        <v>15.35</v>
      </c>
      <c r="O105" s="271">
        <v>15.64</v>
      </c>
      <c r="P105" s="271">
        <v>15.48</v>
      </c>
      <c r="Q105" s="271">
        <v>14.76</v>
      </c>
      <c r="R105" s="271">
        <v>14.76</v>
      </c>
      <c r="S105" s="271">
        <v>14.76</v>
      </c>
      <c r="T105" s="271">
        <v>15.21</v>
      </c>
      <c r="U105" s="271">
        <v>15.54</v>
      </c>
      <c r="V105" s="271">
        <v>15.37</v>
      </c>
      <c r="W105" s="271">
        <v>15.35</v>
      </c>
      <c r="X105" s="271">
        <v>15.23</v>
      </c>
      <c r="Y105" s="271">
        <v>15.68</v>
      </c>
      <c r="Z105" s="273">
        <f ca="1">[1]ExtEntry!$G4</f>
        <v>15.68</v>
      </c>
      <c r="AB105" s="281">
        <v>0.24999580328015622</v>
      </c>
      <c r="AC105" s="281">
        <v>0.14640893196827387</v>
      </c>
      <c r="AD105" s="281">
        <v>7.9841590021651837E-2</v>
      </c>
      <c r="AE105" s="281">
        <v>0.5632340463957769</v>
      </c>
      <c r="AF105" s="281">
        <v>0.5632340463957769</v>
      </c>
      <c r="AG105" s="281">
        <v>0.62678945448665646</v>
      </c>
      <c r="AH105" s="281">
        <v>0.99321592348050625</v>
      </c>
      <c r="AI105" s="281">
        <v>1.4136453695100513</v>
      </c>
      <c r="AJ105" s="281">
        <v>0.87704004243399936</v>
      </c>
      <c r="AK105" s="281">
        <v>8.9525960621684914E-2</v>
      </c>
      <c r="AL105" s="281">
        <v>1.2527130888894895</v>
      </c>
      <c r="AM105" s="281">
        <v>0.27930503746299129</v>
      </c>
      <c r="AN105" s="281">
        <v>4.4117673203869341E-2</v>
      </c>
      <c r="AO105" s="281">
        <v>0.63721280843702721</v>
      </c>
      <c r="AP105" s="281">
        <v>0.63039997960124072</v>
      </c>
      <c r="AQ105" s="281">
        <v>0.76195540378179172</v>
      </c>
      <c r="AR105" s="281">
        <v>0.87248410819823441</v>
      </c>
      <c r="AS105" s="281">
        <v>0.74705853625551288</v>
      </c>
      <c r="AT105" s="281">
        <v>0.57309644379158253</v>
      </c>
      <c r="AU105" s="281">
        <v>1.0726240674667531</v>
      </c>
      <c r="AV105" s="285">
        <f ca="1">Calc!AY4</f>
        <v>1.0726240674667531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48.2</v>
      </c>
      <c r="G106" s="263">
        <v>46.8</v>
      </c>
      <c r="H106" s="263">
        <v>45.8</v>
      </c>
      <c r="I106" s="263">
        <v>48.4</v>
      </c>
      <c r="J106" s="263">
        <v>48.4</v>
      </c>
      <c r="K106" s="263">
        <v>45.6</v>
      </c>
      <c r="L106" s="263">
        <v>48.3</v>
      </c>
      <c r="M106" s="263">
        <v>48.5</v>
      </c>
      <c r="N106" s="263">
        <v>49.6</v>
      </c>
      <c r="O106" s="263">
        <v>48.6</v>
      </c>
      <c r="P106" s="263">
        <v>50.2</v>
      </c>
      <c r="Q106" s="263">
        <v>50.4</v>
      </c>
      <c r="R106" s="263">
        <v>52</v>
      </c>
      <c r="S106" s="263">
        <v>52</v>
      </c>
      <c r="T106" s="263">
        <v>54.4</v>
      </c>
      <c r="U106" s="263">
        <v>55</v>
      </c>
      <c r="V106" s="263">
        <v>55.4</v>
      </c>
      <c r="W106" s="263">
        <v>54</v>
      </c>
      <c r="X106" s="263">
        <v>52.4</v>
      </c>
      <c r="Y106" s="263">
        <v>49.6</v>
      </c>
      <c r="Z106" s="265">
        <f ca="1">[1]ExtEntry!$G5</f>
        <v>49.6</v>
      </c>
      <c r="AA106" s="296"/>
      <c r="AB106" s="281">
        <v>1.0821847805170091</v>
      </c>
      <c r="AC106" s="281">
        <v>0.35693804066218771</v>
      </c>
      <c r="AD106" s="281">
        <v>1.0359677949392048</v>
      </c>
      <c r="AE106" s="281">
        <v>1.2427796817050842</v>
      </c>
      <c r="AF106" s="281">
        <v>1.2427796817050842</v>
      </c>
      <c r="AG106" s="281">
        <v>1.3042037406936626</v>
      </c>
      <c r="AH106" s="281">
        <v>0.57472788610468695</v>
      </c>
      <c r="AI106" s="281">
        <v>0.7813859243385457</v>
      </c>
      <c r="AJ106" s="281">
        <v>0.21910641234166298</v>
      </c>
      <c r="AK106" s="281">
        <v>0.42877421262753218</v>
      </c>
      <c r="AL106" s="281">
        <v>0.65765689391263393</v>
      </c>
      <c r="AM106" s="281">
        <v>1.9696738490521606</v>
      </c>
      <c r="AN106" s="281">
        <v>1.8752967394990552</v>
      </c>
      <c r="AO106" s="281">
        <v>0.55491174976253066</v>
      </c>
      <c r="AP106" s="281">
        <v>2.7826961984475531</v>
      </c>
      <c r="AQ106" s="281">
        <v>1.6358765028944635</v>
      </c>
      <c r="AR106" s="281">
        <v>1.1390489959497816</v>
      </c>
      <c r="AS106" s="281">
        <v>0.93427760358453427</v>
      </c>
      <c r="AT106" s="281">
        <v>0.66120216417246125</v>
      </c>
      <c r="AU106" s="281">
        <v>0.61019444274059986</v>
      </c>
      <c r="AV106" s="281">
        <f ca="1">Calc!AY5</f>
        <v>0.61019444274059986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227.21</v>
      </c>
      <c r="G107" s="271">
        <v>232.5</v>
      </c>
      <c r="H107" s="271">
        <v>230.12</v>
      </c>
      <c r="I107" s="271">
        <v>230.02</v>
      </c>
      <c r="J107" s="271">
        <v>230.02</v>
      </c>
      <c r="K107" s="271">
        <v>227.12</v>
      </c>
      <c r="L107" s="271">
        <v>227.35</v>
      </c>
      <c r="M107" s="271">
        <v>227.11</v>
      </c>
      <c r="N107" s="271">
        <v>228.57</v>
      </c>
      <c r="O107" s="271">
        <v>229.25</v>
      </c>
      <c r="P107" s="271">
        <v>231.32</v>
      </c>
      <c r="Q107" s="271">
        <v>223.49</v>
      </c>
      <c r="R107" s="271">
        <v>225.24</v>
      </c>
      <c r="S107" s="271">
        <v>225.21</v>
      </c>
      <c r="T107" s="271">
        <v>231.185</v>
      </c>
      <c r="U107" s="271">
        <v>234.94</v>
      </c>
      <c r="V107" s="271">
        <v>236.35499999999999</v>
      </c>
      <c r="W107" s="271">
        <v>237.51499999999999</v>
      </c>
      <c r="X107" s="271">
        <v>231.3</v>
      </c>
      <c r="Y107" s="271">
        <v>230.35</v>
      </c>
      <c r="Z107" s="273">
        <f ca="1">[1]ExtEntry!$G6</f>
        <v>230.35</v>
      </c>
      <c r="AA107" s="297"/>
      <c r="AB107" s="281">
        <v>0.70713625779696143</v>
      </c>
      <c r="AC107" s="281">
        <v>0.38362890804336008</v>
      </c>
      <c r="AD107" s="281">
        <v>0.15483224208875973</v>
      </c>
      <c r="AE107" s="281">
        <v>0.44849513243609918</v>
      </c>
      <c r="AF107" s="281">
        <v>0.44849513243609918</v>
      </c>
      <c r="AG107" s="281">
        <v>0.81048413352970516</v>
      </c>
      <c r="AH107" s="281">
        <v>0.50290506745258701</v>
      </c>
      <c r="AI107" s="281">
        <v>0.58895002795524032</v>
      </c>
      <c r="AJ107" s="281">
        <v>0.48410985531309975</v>
      </c>
      <c r="AK107" s="281">
        <v>0.2346939643978441</v>
      </c>
      <c r="AL107" s="281">
        <v>0.61058476459960742</v>
      </c>
      <c r="AM107" s="281">
        <v>0.37351943849781039</v>
      </c>
      <c r="AN107" s="281">
        <v>0.13814743024887682</v>
      </c>
      <c r="AO107" s="281">
        <v>4.1147407079411688E-3</v>
      </c>
      <c r="AP107" s="281">
        <v>1.1339682774585313E-2</v>
      </c>
      <c r="AQ107" s="281">
        <v>0.81361038137375519</v>
      </c>
      <c r="AR107" s="281">
        <v>0.70291640076545991</v>
      </c>
      <c r="AS107" s="281">
        <v>1.68376874279347</v>
      </c>
      <c r="AT107" s="281">
        <v>0.7962533007781265</v>
      </c>
      <c r="AU107" s="281">
        <v>1.0710485466714732</v>
      </c>
      <c r="AV107" s="285">
        <f ca="1">Calc!AY6</f>
        <v>1.0710485466714732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0.96</v>
      </c>
      <c r="H108" s="263">
        <v>0.96</v>
      </c>
      <c r="I108" s="263">
        <v>0.95799999999999996</v>
      </c>
      <c r="J108" s="263">
        <v>0.95799999999999996</v>
      </c>
      <c r="K108" s="263">
        <v>0.93799999999999994</v>
      </c>
      <c r="L108" s="263">
        <v>0.93</v>
      </c>
      <c r="M108" s="263">
        <v>0.91</v>
      </c>
      <c r="N108" s="263">
        <v>0.91</v>
      </c>
      <c r="O108" s="263">
        <v>0.91800000000000004</v>
      </c>
      <c r="P108" s="263">
        <v>0.94</v>
      </c>
      <c r="Q108" s="263">
        <v>0.91</v>
      </c>
      <c r="R108" s="263">
        <v>0.91</v>
      </c>
      <c r="S108" s="263">
        <v>0.91800000000000004</v>
      </c>
      <c r="T108" s="263">
        <v>0.89200000000000002</v>
      </c>
      <c r="U108" s="263">
        <v>0.9</v>
      </c>
      <c r="V108" s="263">
        <v>0.89</v>
      </c>
      <c r="W108" s="263">
        <v>0.91</v>
      </c>
      <c r="X108" s="263">
        <v>0.86199999999999999</v>
      </c>
      <c r="Y108" s="263">
        <v>0.88800000000000001</v>
      </c>
      <c r="Z108" s="265">
        <f ca="1">[1]ExtEntry!$G7</f>
        <v>0.88800000000000001</v>
      </c>
      <c r="AA108" s="298"/>
      <c r="AB108" s="281">
        <v>0.33217391304347826</v>
      </c>
      <c r="AC108" s="281">
        <v>0.77391304347826084</v>
      </c>
      <c r="AD108" s="281">
        <v>0.83259493670886076</v>
      </c>
      <c r="AE108" s="281">
        <v>2.9484177215189873</v>
      </c>
      <c r="AF108" s="281">
        <v>2.9484177215189873</v>
      </c>
      <c r="AG108" s="281">
        <v>1.8489296636085626</v>
      </c>
      <c r="AH108" s="281">
        <v>0.86292834890965731</v>
      </c>
      <c r="AI108" s="281">
        <v>0.82242990654205606</v>
      </c>
      <c r="AJ108" s="281">
        <v>0.92171253822629973</v>
      </c>
      <c r="AK108" s="281">
        <v>0.38868501529051985</v>
      </c>
      <c r="AL108" s="281">
        <v>2.3563025210084034</v>
      </c>
      <c r="AM108" s="281">
        <v>1.2114845938375349</v>
      </c>
      <c r="AN108" s="281">
        <v>1.2182254196642686</v>
      </c>
      <c r="AO108" s="281">
        <v>0.16920980926430518</v>
      </c>
      <c r="AP108" s="281">
        <v>6.1967709022378071E-4</v>
      </c>
      <c r="AQ108" s="281">
        <v>0.483743842364532</v>
      </c>
      <c r="AR108" s="281">
        <v>0.99396984924623111</v>
      </c>
      <c r="AS108" s="281">
        <v>2.2715328467153286</v>
      </c>
      <c r="AT108" s="281">
        <v>1.4605839416058395</v>
      </c>
      <c r="AU108" s="281">
        <v>2.2413793103448276E-2</v>
      </c>
      <c r="AV108" s="281">
        <f ca="1">Calc!AY7</f>
        <v>2.2413793103448276E-2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646.29999999999995</v>
      </c>
      <c r="G109" s="271">
        <v>634.9</v>
      </c>
      <c r="H109" s="271">
        <v>634.20000000000005</v>
      </c>
      <c r="I109" s="271">
        <v>642</v>
      </c>
      <c r="J109" s="271">
        <v>642</v>
      </c>
      <c r="K109" s="271">
        <v>638.6</v>
      </c>
      <c r="L109" s="271">
        <v>647.5</v>
      </c>
      <c r="M109" s="271">
        <v>649</v>
      </c>
      <c r="N109" s="271">
        <v>652.5</v>
      </c>
      <c r="O109" s="271">
        <v>660.1</v>
      </c>
      <c r="P109" s="271">
        <v>626.6</v>
      </c>
      <c r="Q109" s="271">
        <v>630</v>
      </c>
      <c r="R109" s="271">
        <v>630.5</v>
      </c>
      <c r="S109" s="271">
        <v>628.9</v>
      </c>
      <c r="T109" s="271">
        <v>660</v>
      </c>
      <c r="U109" s="271">
        <v>667.2</v>
      </c>
      <c r="V109" s="271">
        <v>680</v>
      </c>
      <c r="W109" s="271">
        <v>691.2</v>
      </c>
      <c r="X109" s="271">
        <v>680.2</v>
      </c>
      <c r="Y109" s="271">
        <v>688</v>
      </c>
      <c r="Z109" s="273">
        <f ca="1">[1]ExtEntry!$G8</f>
        <v>688</v>
      </c>
      <c r="AA109" s="298"/>
      <c r="AB109" s="281">
        <v>0.71792505242029425</v>
      </c>
      <c r="AC109" s="281">
        <v>0.7052555080915327</v>
      </c>
      <c r="AD109" s="281">
        <v>0.28683488065050194</v>
      </c>
      <c r="AE109" s="281">
        <v>0.82412976507324431</v>
      </c>
      <c r="AF109" s="281">
        <v>0.82412976507324431</v>
      </c>
      <c r="AG109" s="281">
        <v>1.0634705382991227</v>
      </c>
      <c r="AH109" s="281">
        <v>0.66257488690548971</v>
      </c>
      <c r="AI109" s="281">
        <v>1.700457268614745</v>
      </c>
      <c r="AJ109" s="281">
        <v>1.2861401943753228</v>
      </c>
      <c r="AK109" s="281">
        <v>0.75450490633363065</v>
      </c>
      <c r="AL109" s="281">
        <v>0.35704206423867757</v>
      </c>
      <c r="AM109" s="281">
        <v>0.985609013125476</v>
      </c>
      <c r="AN109" s="281">
        <v>0.52539703994052844</v>
      </c>
      <c r="AO109" s="281">
        <v>0.23364497896391995</v>
      </c>
      <c r="AP109" s="281">
        <v>1.5069574505666712</v>
      </c>
      <c r="AQ109" s="281">
        <v>0.93300016325938284</v>
      </c>
      <c r="AR109" s="281">
        <v>0.90375677979937241</v>
      </c>
      <c r="AS109" s="281">
        <v>0.98586385550838307</v>
      </c>
      <c r="AT109" s="281">
        <v>0.90397747715334242</v>
      </c>
      <c r="AU109" s="281">
        <v>0.79148683855897939</v>
      </c>
      <c r="AV109" s="285">
        <f ca="1">Calc!AY8</f>
        <v>0.79148683855897939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77.84</v>
      </c>
      <c r="G110" s="271">
        <v>78.5</v>
      </c>
      <c r="H110" s="271">
        <v>79.510000000000005</v>
      </c>
      <c r="I110" s="271">
        <v>79.33</v>
      </c>
      <c r="J110" s="271">
        <v>79.33</v>
      </c>
      <c r="K110" s="271">
        <v>80.2</v>
      </c>
      <c r="L110" s="271">
        <v>81.52</v>
      </c>
      <c r="M110" s="271">
        <v>80.569999999999993</v>
      </c>
      <c r="N110" s="271">
        <v>80.055000000000007</v>
      </c>
      <c r="O110" s="271">
        <v>79.98</v>
      </c>
      <c r="P110" s="271">
        <v>79.59</v>
      </c>
      <c r="Q110" s="271">
        <v>79.89</v>
      </c>
      <c r="R110" s="271">
        <v>80.959999999999994</v>
      </c>
      <c r="S110" s="271">
        <v>80.95</v>
      </c>
      <c r="T110" s="271">
        <v>81.88</v>
      </c>
      <c r="U110" s="271">
        <v>80.73</v>
      </c>
      <c r="V110" s="271">
        <v>81.004999999999995</v>
      </c>
      <c r="W110" s="271">
        <v>80.91</v>
      </c>
      <c r="X110" s="271">
        <v>80.819999999999993</v>
      </c>
      <c r="Y110" s="271">
        <v>80.819999999999993</v>
      </c>
      <c r="Z110" s="273">
        <f ca="1">[1]ExtEntry!$G9</f>
        <v>80.819999999999993</v>
      </c>
      <c r="AA110" s="298"/>
      <c r="AB110" s="281">
        <v>0.62241058877708744</v>
      </c>
      <c r="AC110" s="281">
        <v>0.27809837358073747</v>
      </c>
      <c r="AD110" s="281">
        <v>0.12906550530412766</v>
      </c>
      <c r="AE110" s="281">
        <v>0.45807699169982974</v>
      </c>
      <c r="AF110" s="281">
        <v>0.45807699169982974</v>
      </c>
      <c r="AG110" s="281">
        <v>0.6855607712346341</v>
      </c>
      <c r="AH110" s="281">
        <v>0.65062919425094579</v>
      </c>
      <c r="AI110" s="281">
        <v>1.0255001248062712</v>
      </c>
      <c r="AJ110" s="281">
        <v>0.91908451928992674</v>
      </c>
      <c r="AK110" s="281">
        <v>0.20558893581705218</v>
      </c>
      <c r="AL110" s="281">
        <v>0.54907015847089802</v>
      </c>
      <c r="AM110" s="281">
        <v>0.24848753859759376</v>
      </c>
      <c r="AN110" s="281">
        <v>0.14742822361837557</v>
      </c>
      <c r="AO110" s="281">
        <v>8.2390929817502817E-3</v>
      </c>
      <c r="AP110" s="281">
        <v>3.9207005376781807E-3</v>
      </c>
      <c r="AQ110" s="281">
        <v>0.67174933675085102</v>
      </c>
      <c r="AR110" s="281">
        <v>0.65127567176832213</v>
      </c>
      <c r="AS110" s="281">
        <v>0.5911324342362082</v>
      </c>
      <c r="AT110" s="281">
        <v>0.59447368114576937</v>
      </c>
      <c r="AU110" s="281">
        <v>1.2773783583068079</v>
      </c>
      <c r="AV110" s="281">
        <f ca="1">Calc!AY9</f>
        <v>1.2773783583068079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1.8</v>
      </c>
      <c r="G111" s="271">
        <v>1.82</v>
      </c>
      <c r="H111" s="271">
        <v>2.0099999999999998</v>
      </c>
      <c r="I111" s="271">
        <v>2.0099999999999998</v>
      </c>
      <c r="J111" s="271">
        <v>2.0099999999999998</v>
      </c>
      <c r="K111" s="271">
        <v>1.92</v>
      </c>
      <c r="L111" s="271">
        <v>1.9850000000000001</v>
      </c>
      <c r="M111" s="271">
        <v>2.0299999999999998</v>
      </c>
      <c r="N111" s="271">
        <v>2.0499999999999998</v>
      </c>
      <c r="O111" s="271">
        <v>2.02</v>
      </c>
      <c r="P111" s="271">
        <v>1.9850000000000001</v>
      </c>
      <c r="Q111" s="271">
        <v>1.9</v>
      </c>
      <c r="R111" s="271">
        <v>1.87</v>
      </c>
      <c r="S111" s="271">
        <v>1.87</v>
      </c>
      <c r="T111" s="271">
        <v>1.94</v>
      </c>
      <c r="U111" s="271">
        <v>2.04</v>
      </c>
      <c r="V111" s="271">
        <v>1.94</v>
      </c>
      <c r="W111" s="271">
        <v>1.89</v>
      </c>
      <c r="X111" s="271">
        <v>1.93</v>
      </c>
      <c r="Y111" s="271">
        <v>2.02</v>
      </c>
      <c r="Z111" s="273">
        <f ca="1">[1]ExtEntry!$G10</f>
        <v>2.02</v>
      </c>
      <c r="AA111" s="298"/>
      <c r="AB111" s="281">
        <v>0.22564882927153151</v>
      </c>
      <c r="AC111" s="281">
        <v>0.24888271813689966</v>
      </c>
      <c r="AD111" s="281">
        <v>0.28770804993559096</v>
      </c>
      <c r="AE111" s="281">
        <v>0.47774491770498873</v>
      </c>
      <c r="AF111" s="281">
        <v>0.47774491770498873</v>
      </c>
      <c r="AG111" s="281">
        <v>0.59830266352092198</v>
      </c>
      <c r="AH111" s="281">
        <v>0.59462356696822727</v>
      </c>
      <c r="AI111" s="281">
        <v>0.6623575354942941</v>
      </c>
      <c r="AJ111" s="281">
        <v>0.45335358103343093</v>
      </c>
      <c r="AK111" s="281">
        <v>8.961251309474344E-2</v>
      </c>
      <c r="AL111" s="281">
        <v>0.75123387100529604</v>
      </c>
      <c r="AM111" s="281">
        <v>0.44681478746282449</v>
      </c>
      <c r="AN111" s="281">
        <v>0.15248073000712642</v>
      </c>
      <c r="AO111" s="281">
        <v>4.6886406516488182E-3</v>
      </c>
      <c r="AP111" s="281">
        <v>9.1769399463568421E-3</v>
      </c>
      <c r="AQ111" s="281">
        <v>0.90937390863225376</v>
      </c>
      <c r="AR111" s="281">
        <v>0.73249771517223661</v>
      </c>
      <c r="AS111" s="281">
        <v>1.8784155486862784</v>
      </c>
      <c r="AT111" s="281">
        <v>1.3134757015160297</v>
      </c>
      <c r="AU111" s="281">
        <v>1.0067384855147652</v>
      </c>
      <c r="AV111" s="285">
        <f ca="1">Calc!AY10</f>
        <v>1.0067384855147652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4.1900000000000004</v>
      </c>
      <c r="G112" s="271">
        <v>3.09</v>
      </c>
      <c r="H112" s="271">
        <v>3.14</v>
      </c>
      <c r="I112" s="271">
        <v>3.06</v>
      </c>
      <c r="J112" s="271">
        <v>3.06</v>
      </c>
      <c r="K112" s="271">
        <v>3.12</v>
      </c>
      <c r="L112" s="271">
        <v>3.4</v>
      </c>
      <c r="M112" s="271">
        <v>3.24</v>
      </c>
      <c r="N112" s="271">
        <v>3.24</v>
      </c>
      <c r="O112" s="271">
        <v>3.13</v>
      </c>
      <c r="P112" s="271">
        <v>3.11</v>
      </c>
      <c r="Q112" s="271">
        <v>3.03</v>
      </c>
      <c r="R112" s="271">
        <v>3.19</v>
      </c>
      <c r="S112" s="271">
        <v>3.19</v>
      </c>
      <c r="T112" s="271">
        <v>2.84</v>
      </c>
      <c r="U112" s="271">
        <v>2.77</v>
      </c>
      <c r="V112" s="271">
        <v>2.74</v>
      </c>
      <c r="W112" s="271">
        <v>2.94</v>
      </c>
      <c r="X112" s="271">
        <v>2.98</v>
      </c>
      <c r="Y112" s="271">
        <v>3</v>
      </c>
      <c r="Z112" s="273">
        <f ca="1">[1]ExtEntry!$G11</f>
        <v>3</v>
      </c>
      <c r="AA112" s="298"/>
      <c r="AB112" s="281">
        <v>553.7968452147087</v>
      </c>
      <c r="AC112" s="281">
        <v>0.30653176596064768</v>
      </c>
      <c r="AD112" s="281">
        <v>3.37266626226446E-2</v>
      </c>
      <c r="AE112" s="281">
        <v>9.1378598569418587E-2</v>
      </c>
      <c r="AF112" s="281">
        <v>9.1378598569418587E-2</v>
      </c>
      <c r="AG112" s="281">
        <v>9.1288042945784617E-2</v>
      </c>
      <c r="AH112" s="281">
        <v>2.7472056241967125E-2</v>
      </c>
      <c r="AI112" s="281">
        <v>2.9110336589203815E-2</v>
      </c>
      <c r="AJ112" s="281">
        <v>2.8593817303665753E-2</v>
      </c>
      <c r="AK112" s="281">
        <v>4.8582564623130499E-3</v>
      </c>
      <c r="AL112" s="281">
        <v>4.6573564303913906E-2</v>
      </c>
      <c r="AM112" s="281">
        <v>1.0850936843089269E-2</v>
      </c>
      <c r="AN112" s="281">
        <v>3.710912998373197</v>
      </c>
      <c r="AO112" s="281">
        <v>7.5769736668719135E-3</v>
      </c>
      <c r="AP112" s="281">
        <v>1.7567695986397877E-3</v>
      </c>
      <c r="AQ112" s="281">
        <v>0.104757717703175</v>
      </c>
      <c r="AR112" s="281">
        <v>0.2028136709888495</v>
      </c>
      <c r="AS112" s="281">
        <v>2.2138941221707897E-2</v>
      </c>
      <c r="AT112" s="281">
        <v>1.9386514409232149E-2</v>
      </c>
      <c r="AU112" s="281">
        <v>1.0341119817313655E-2</v>
      </c>
      <c r="AV112" s="281">
        <f ca="1">Calc!AY11</f>
        <v>1.0341119817313655E-2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94.61</v>
      </c>
      <c r="G113" s="271">
        <v>95.45</v>
      </c>
      <c r="H113" s="271">
        <v>93.415000000000006</v>
      </c>
      <c r="I113" s="271">
        <v>93.94</v>
      </c>
      <c r="J113" s="271">
        <v>93.94</v>
      </c>
      <c r="K113" s="271">
        <v>93.53</v>
      </c>
      <c r="L113" s="271">
        <v>95.224999999999994</v>
      </c>
      <c r="M113" s="271">
        <v>94.68</v>
      </c>
      <c r="N113" s="271">
        <v>95.15</v>
      </c>
      <c r="O113" s="271">
        <v>97.35</v>
      </c>
      <c r="P113" s="271">
        <v>96.65</v>
      </c>
      <c r="Q113" s="271">
        <v>95</v>
      </c>
      <c r="R113" s="271">
        <v>94.73</v>
      </c>
      <c r="S113" s="271">
        <v>94.89</v>
      </c>
      <c r="T113" s="271">
        <v>95.3</v>
      </c>
      <c r="U113" s="271">
        <v>95.86</v>
      </c>
      <c r="V113" s="271">
        <v>95.5</v>
      </c>
      <c r="W113" s="271">
        <v>97.5</v>
      </c>
      <c r="X113" s="271">
        <v>97.305000000000007</v>
      </c>
      <c r="Y113" s="271">
        <v>98.78</v>
      </c>
      <c r="Z113" s="273">
        <f ca="1">[1]ExtEntry!$G12</f>
        <v>98.78</v>
      </c>
      <c r="AA113" s="298"/>
      <c r="AB113" s="281">
        <v>0.33147601528611731</v>
      </c>
      <c r="AC113" s="281">
        <v>0.22192826142144415</v>
      </c>
      <c r="AD113" s="281">
        <v>0.10954561868050137</v>
      </c>
      <c r="AE113" s="281">
        <v>0.45012814618654456</v>
      </c>
      <c r="AF113" s="281">
        <v>0.45012814618654456</v>
      </c>
      <c r="AG113" s="281">
        <v>0.87272770935916633</v>
      </c>
      <c r="AH113" s="281">
        <v>0.5802478316026668</v>
      </c>
      <c r="AI113" s="281">
        <v>0.74677110732175711</v>
      </c>
      <c r="AJ113" s="281">
        <v>0.76931958564052239</v>
      </c>
      <c r="AK113" s="281">
        <v>0.21125210625816893</v>
      </c>
      <c r="AL113" s="281">
        <v>0.60138911145917084</v>
      </c>
      <c r="AM113" s="281">
        <v>0.43678090008272941</v>
      </c>
      <c r="AN113" s="281">
        <v>0.10941692013561441</v>
      </c>
      <c r="AO113" s="281">
        <v>2.9782080222388559E-4</v>
      </c>
      <c r="AP113" s="281">
        <v>2.861188951072543E-3</v>
      </c>
      <c r="AQ113" s="281">
        <v>0.83284206636737534</v>
      </c>
      <c r="AR113" s="281">
        <v>1.3427773721328753</v>
      </c>
      <c r="AS113" s="281">
        <v>0.89389771420865849</v>
      </c>
      <c r="AT113" s="281">
        <v>0.66573521885026854</v>
      </c>
      <c r="AU113" s="281">
        <v>0.69151353119457981</v>
      </c>
      <c r="AV113" s="285">
        <f ca="1">Calc!AY12</f>
        <v>0.69151353119457981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67.959999999999994</v>
      </c>
      <c r="G114" s="271">
        <v>68.61</v>
      </c>
      <c r="H114" s="271">
        <v>66</v>
      </c>
      <c r="I114" s="271">
        <v>66.7</v>
      </c>
      <c r="J114" s="271">
        <v>66.7</v>
      </c>
      <c r="K114" s="271">
        <v>66.819999999999993</v>
      </c>
      <c r="L114" s="271">
        <v>67.28</v>
      </c>
      <c r="M114" s="271">
        <v>67.165000000000006</v>
      </c>
      <c r="N114" s="271">
        <v>68.319999999999993</v>
      </c>
      <c r="O114" s="271">
        <v>68.44</v>
      </c>
      <c r="P114" s="271">
        <v>69.11</v>
      </c>
      <c r="Q114" s="271">
        <v>68.11</v>
      </c>
      <c r="R114" s="271">
        <v>68.13</v>
      </c>
      <c r="S114" s="271">
        <v>68.045000000000002</v>
      </c>
      <c r="T114" s="271">
        <v>68.099999999999994</v>
      </c>
      <c r="U114" s="271">
        <v>66.72</v>
      </c>
      <c r="V114" s="271">
        <v>66.739999999999995</v>
      </c>
      <c r="W114" s="271">
        <v>67.59</v>
      </c>
      <c r="X114" s="271">
        <v>68.25</v>
      </c>
      <c r="Y114" s="271">
        <v>66.88</v>
      </c>
      <c r="Z114" s="273">
        <f ca="1">[1]ExtEntry!$G13</f>
        <v>66.88</v>
      </c>
      <c r="AA114" s="298"/>
      <c r="AB114" s="281">
        <v>1.3485953745691779</v>
      </c>
      <c r="AC114" s="281">
        <v>0.62070088093120823</v>
      </c>
      <c r="AD114" s="281">
        <v>0.21078412046106429</v>
      </c>
      <c r="AE114" s="281">
        <v>0.58772776424972073</v>
      </c>
      <c r="AF114" s="281">
        <v>0.58772776424972073</v>
      </c>
      <c r="AG114" s="281">
        <v>0.7057389110784108</v>
      </c>
      <c r="AH114" s="281">
        <v>0.5515821650904128</v>
      </c>
      <c r="AI114" s="281">
        <v>1.3635843291109522</v>
      </c>
      <c r="AJ114" s="281">
        <v>0.64844101950013577</v>
      </c>
      <c r="AK114" s="281">
        <v>0.16509281110986859</v>
      </c>
      <c r="AL114" s="281">
        <v>0.70174964779478</v>
      </c>
      <c r="AM114" s="281">
        <v>0.29768481464218133</v>
      </c>
      <c r="AN114" s="281">
        <v>0.10313280072092014</v>
      </c>
      <c r="AO114" s="281">
        <v>6.286444497819722E-5</v>
      </c>
      <c r="AP114" s="281">
        <v>4.2550255404748931E-2</v>
      </c>
      <c r="AQ114" s="281">
        <v>0.65236881763605381</v>
      </c>
      <c r="AR114" s="281">
        <v>0.54887251508024948</v>
      </c>
      <c r="AS114" s="281">
        <v>0.70008764460871697</v>
      </c>
      <c r="AT114" s="281">
        <v>0.58446244641730583</v>
      </c>
      <c r="AU114" s="281">
        <v>0.88546777090552331</v>
      </c>
      <c r="AV114" s="281">
        <f ca="1">Calc!AY13</f>
        <v>0.88546777090552331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66.59</v>
      </c>
      <c r="G115" s="271">
        <v>68.12</v>
      </c>
      <c r="H115" s="271">
        <v>70.28</v>
      </c>
      <c r="I115" s="271">
        <v>70</v>
      </c>
      <c r="J115" s="271">
        <v>70</v>
      </c>
      <c r="K115" s="271">
        <v>71.010000000000005</v>
      </c>
      <c r="L115" s="271">
        <v>71.34</v>
      </c>
      <c r="M115" s="271">
        <v>71.25</v>
      </c>
      <c r="N115" s="271">
        <v>71.63</v>
      </c>
      <c r="O115" s="271">
        <v>71.83</v>
      </c>
      <c r="P115" s="271">
        <v>72.239999999999995</v>
      </c>
      <c r="Q115" s="271">
        <v>72.98</v>
      </c>
      <c r="R115" s="271">
        <v>74.064999999999998</v>
      </c>
      <c r="S115" s="271">
        <v>74.09</v>
      </c>
      <c r="T115" s="271">
        <v>73.42</v>
      </c>
      <c r="U115" s="271">
        <v>73.83</v>
      </c>
      <c r="V115" s="271">
        <v>71.56</v>
      </c>
      <c r="W115" s="271">
        <v>72.069999999999993</v>
      </c>
      <c r="X115" s="271">
        <v>74.180000000000007</v>
      </c>
      <c r="Y115" s="271">
        <v>74.42</v>
      </c>
      <c r="Z115" s="273">
        <f ca="1">[1]ExtEntry!$G14</f>
        <v>74.42</v>
      </c>
      <c r="AA115" s="298"/>
      <c r="AB115" s="281">
        <v>0.26536358005433303</v>
      </c>
      <c r="AC115" s="281">
        <v>0.37356104053375433</v>
      </c>
      <c r="AD115" s="281">
        <v>0.2656730505384805</v>
      </c>
      <c r="AE115" s="281">
        <v>0.38483514999966595</v>
      </c>
      <c r="AF115" s="281">
        <v>0.38483514999966595</v>
      </c>
      <c r="AG115" s="281">
        <v>0.57551567668923964</v>
      </c>
      <c r="AH115" s="281">
        <v>0.54620554115761044</v>
      </c>
      <c r="AI115" s="281">
        <v>0.63110274067777317</v>
      </c>
      <c r="AJ115" s="281">
        <v>0.42714203144670271</v>
      </c>
      <c r="AK115" s="281">
        <v>0.14178158841098926</v>
      </c>
      <c r="AL115" s="281">
        <v>0.79990695791161093</v>
      </c>
      <c r="AM115" s="281">
        <v>0.35912799299757281</v>
      </c>
      <c r="AN115" s="281">
        <v>0.10673790635050714</v>
      </c>
      <c r="AO115" s="281">
        <v>1.6173471304505076E-5</v>
      </c>
      <c r="AP115" s="281">
        <v>3.7603024648562435E-4</v>
      </c>
      <c r="AQ115" s="281">
        <v>2.0902638336661088</v>
      </c>
      <c r="AR115" s="281">
        <v>1.6384917700619326</v>
      </c>
      <c r="AS115" s="281">
        <v>1.6263039762374185</v>
      </c>
      <c r="AT115" s="281">
        <v>1.0105263078794764</v>
      </c>
      <c r="AU115" s="281">
        <v>0.93561724412236513</v>
      </c>
      <c r="AV115" s="285">
        <f ca="1">Calc!AY14</f>
        <v>0.93561724412236513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2.25</v>
      </c>
      <c r="G116" s="271">
        <v>2.12</v>
      </c>
      <c r="H116" s="271">
        <v>2.0350000000000001</v>
      </c>
      <c r="I116" s="271">
        <v>2.0699999999999998</v>
      </c>
      <c r="J116" s="271">
        <v>2.0699999999999998</v>
      </c>
      <c r="K116" s="271">
        <v>1.94</v>
      </c>
      <c r="L116" s="271">
        <v>2.09</v>
      </c>
      <c r="M116" s="271">
        <v>2.1800000000000002</v>
      </c>
      <c r="N116" s="271">
        <v>2.23</v>
      </c>
      <c r="O116" s="271">
        <v>2.5499999999999998</v>
      </c>
      <c r="P116" s="271">
        <v>2.41</v>
      </c>
      <c r="Q116" s="271">
        <v>2.2599999999999998</v>
      </c>
      <c r="R116" s="271">
        <v>2.17</v>
      </c>
      <c r="S116" s="271">
        <v>2.1800000000000002</v>
      </c>
      <c r="T116" s="271">
        <v>2.0499999999999998</v>
      </c>
      <c r="U116" s="271">
        <v>2.13</v>
      </c>
      <c r="V116" s="271">
        <v>2.15</v>
      </c>
      <c r="W116" s="271">
        <v>2.12</v>
      </c>
      <c r="X116" s="271">
        <v>2.1150000000000002</v>
      </c>
      <c r="Y116" s="271">
        <v>2.27</v>
      </c>
      <c r="Z116" s="273">
        <f ca="1">[1]ExtEntry!$G15</f>
        <v>2.27</v>
      </c>
      <c r="AA116" s="298"/>
      <c r="AB116" s="281">
        <v>0.78671885715491496</v>
      </c>
      <c r="AC116" s="281">
        <v>0.36411764463227542</v>
      </c>
      <c r="AD116" s="281">
        <v>0.72924701755660637</v>
      </c>
      <c r="AE116" s="281">
        <v>0.61550843947522571</v>
      </c>
      <c r="AF116" s="281">
        <v>0.61550843947522571</v>
      </c>
      <c r="AG116" s="281">
        <v>0.69298493061311872</v>
      </c>
      <c r="AH116" s="281">
        <v>0.7762405809497982</v>
      </c>
      <c r="AI116" s="281">
        <v>0.86746339258865013</v>
      </c>
      <c r="AJ116" s="281">
        <v>4.2009130025701653</v>
      </c>
      <c r="AK116" s="281">
        <v>0.49753824219458131</v>
      </c>
      <c r="AL116" s="281">
        <v>0.79509302521594627</v>
      </c>
      <c r="AM116" s="281">
        <v>0.26977852340416658</v>
      </c>
      <c r="AN116" s="281">
        <v>0.10678070165845611</v>
      </c>
      <c r="AO116" s="281">
        <v>2.6692776189329452E-4</v>
      </c>
      <c r="AP116" s="281">
        <v>3.8278273151273871E-3</v>
      </c>
      <c r="AQ116" s="281">
        <v>0.49203418326991388</v>
      </c>
      <c r="AR116" s="281">
        <v>0.44621445402582138</v>
      </c>
      <c r="AS116" s="281">
        <v>0.57053942844138039</v>
      </c>
      <c r="AT116" s="281">
        <v>0.59845534789912791</v>
      </c>
      <c r="AU116" s="281">
        <v>0.41372923122963995</v>
      </c>
      <c r="AV116" s="281">
        <f ca="1">Calc!AY15</f>
        <v>0.41372923122963995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115.51</v>
      </c>
      <c r="G117" s="271">
        <v>116.46</v>
      </c>
      <c r="H117" s="271">
        <v>115.28</v>
      </c>
      <c r="I117" s="271">
        <v>116.57</v>
      </c>
      <c r="J117" s="271">
        <v>116.57</v>
      </c>
      <c r="K117" s="271">
        <v>116.075</v>
      </c>
      <c r="L117" s="271">
        <v>118.49</v>
      </c>
      <c r="M117" s="271">
        <v>117.43</v>
      </c>
      <c r="N117" s="271">
        <v>117.53</v>
      </c>
      <c r="O117" s="271">
        <v>118.27</v>
      </c>
      <c r="P117" s="271">
        <v>117.39</v>
      </c>
      <c r="Q117" s="271">
        <v>117.08499999999999</v>
      </c>
      <c r="R117" s="271">
        <v>117.73</v>
      </c>
      <c r="S117" s="271">
        <v>117.83</v>
      </c>
      <c r="T117" s="271">
        <v>117.08</v>
      </c>
      <c r="U117" s="271">
        <v>117.96</v>
      </c>
      <c r="V117" s="271">
        <v>118.52500000000001</v>
      </c>
      <c r="W117" s="271">
        <v>116.85</v>
      </c>
      <c r="X117" s="271">
        <v>115.83</v>
      </c>
      <c r="Y117" s="271">
        <v>116.26</v>
      </c>
      <c r="Z117" s="273">
        <f ca="1">[1]ExtEntry!$G16</f>
        <v>116.26</v>
      </c>
      <c r="AA117" s="298"/>
      <c r="AB117" s="281">
        <v>0.33731415684842336</v>
      </c>
      <c r="AC117" s="281">
        <v>0.20328613530973949</v>
      </c>
      <c r="AD117" s="281">
        <v>0.1576234016599341</v>
      </c>
      <c r="AE117" s="281">
        <v>0.37223638482804283</v>
      </c>
      <c r="AF117" s="281">
        <v>0.37223638482804283</v>
      </c>
      <c r="AG117" s="281">
        <v>0.80347717293773435</v>
      </c>
      <c r="AH117" s="281">
        <v>0.65121161986432852</v>
      </c>
      <c r="AI117" s="281">
        <v>0.69754774772295691</v>
      </c>
      <c r="AJ117" s="281">
        <v>0.52746844325610676</v>
      </c>
      <c r="AK117" s="281">
        <v>0.17034596031438312</v>
      </c>
      <c r="AL117" s="281">
        <v>0.64673997567918673</v>
      </c>
      <c r="AM117" s="281">
        <v>0.25704034626650479</v>
      </c>
      <c r="AN117" s="281">
        <v>0.11059181488851004</v>
      </c>
      <c r="AO117" s="281">
        <v>2.0451080013860186E-4</v>
      </c>
      <c r="AP117" s="281">
        <v>1.3215920690724618E-3</v>
      </c>
      <c r="AQ117" s="281">
        <v>0.79403446429470648</v>
      </c>
      <c r="AR117" s="281">
        <v>0.66808947101549021</v>
      </c>
      <c r="AS117" s="281">
        <v>0.94726450484074964</v>
      </c>
      <c r="AT117" s="281">
        <v>0.9277372312825829</v>
      </c>
      <c r="AU117" s="281">
        <v>1.0857649478121689</v>
      </c>
      <c r="AV117" s="285">
        <f ca="1">Calc!AY16</f>
        <v>1.0857649478121689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26.75</v>
      </c>
      <c r="G118" s="271">
        <v>26.66</v>
      </c>
      <c r="H118" s="271">
        <v>26.94</v>
      </c>
      <c r="I118" s="271">
        <v>26.75</v>
      </c>
      <c r="J118" s="271">
        <v>26.75</v>
      </c>
      <c r="K118" s="271">
        <v>26.8</v>
      </c>
      <c r="L118" s="271">
        <v>27.16</v>
      </c>
      <c r="M118" s="271">
        <v>26.7</v>
      </c>
      <c r="N118" s="271">
        <v>26.36</v>
      </c>
      <c r="O118" s="271">
        <v>26.81</v>
      </c>
      <c r="P118" s="271">
        <v>26.59</v>
      </c>
      <c r="Q118" s="271">
        <v>26.52</v>
      </c>
      <c r="R118" s="271">
        <v>26.41</v>
      </c>
      <c r="S118" s="271">
        <v>26.54</v>
      </c>
      <c r="T118" s="271">
        <v>26.8</v>
      </c>
      <c r="U118" s="271">
        <v>26.89</v>
      </c>
      <c r="V118" s="271">
        <v>27.44</v>
      </c>
      <c r="W118" s="271">
        <v>27.78</v>
      </c>
      <c r="X118" s="271">
        <v>27.33</v>
      </c>
      <c r="Y118" s="271">
        <v>27.37</v>
      </c>
      <c r="Z118" s="273">
        <f ca="1">[1]ExtEntry!$G17</f>
        <v>27.37</v>
      </c>
      <c r="AA118" s="298"/>
      <c r="AB118" s="281">
        <v>1.0224680845064464</v>
      </c>
      <c r="AC118" s="281">
        <v>0.37904583527707958</v>
      </c>
      <c r="AD118" s="281">
        <v>0.19369616462320796</v>
      </c>
      <c r="AE118" s="281">
        <v>1.1696727995137211</v>
      </c>
      <c r="AF118" s="281">
        <v>1.1696727995137211</v>
      </c>
      <c r="AG118" s="281">
        <v>0.87075750400288654</v>
      </c>
      <c r="AH118" s="281">
        <v>0.68055658352453552</v>
      </c>
      <c r="AI118" s="281">
        <v>2.5787647579812951</v>
      </c>
      <c r="AJ118" s="281">
        <v>1.147298054944581</v>
      </c>
      <c r="AK118" s="281">
        <v>0.38247725018329237</v>
      </c>
      <c r="AL118" s="281">
        <v>0.30012558048269999</v>
      </c>
      <c r="AM118" s="281">
        <v>0.50841127608084247</v>
      </c>
      <c r="AN118" s="281">
        <v>0.20699068783902702</v>
      </c>
      <c r="AO118" s="281">
        <v>0.18107189160332512</v>
      </c>
      <c r="AP118" s="281">
        <v>0.49922385864137964</v>
      </c>
      <c r="AQ118" s="281">
        <v>0.64520941608070925</v>
      </c>
      <c r="AR118" s="281">
        <v>1.4764818240857469</v>
      </c>
      <c r="AS118" s="281">
        <v>1.0355503906359385</v>
      </c>
      <c r="AT118" s="281">
        <v>0.70865951667553417</v>
      </c>
      <c r="AU118" s="281">
        <v>0.84064482926332695</v>
      </c>
      <c r="AV118" s="281">
        <f ca="1">Calc!AY17</f>
        <v>0.84064482926332695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134.005</v>
      </c>
      <c r="G119" s="271">
        <v>134.625</v>
      </c>
      <c r="H119" s="271">
        <v>135.78</v>
      </c>
      <c r="I119" s="271">
        <v>133.97999999999999</v>
      </c>
      <c r="J119" s="271">
        <v>133.97999999999999</v>
      </c>
      <c r="K119" s="271">
        <v>137.19</v>
      </c>
      <c r="L119" s="271">
        <v>139.77000000000001</v>
      </c>
      <c r="M119" s="271">
        <v>137.34</v>
      </c>
      <c r="N119" s="271">
        <v>138.93</v>
      </c>
      <c r="O119" s="271">
        <v>138.08000000000001</v>
      </c>
      <c r="P119" s="271">
        <v>136.08000000000001</v>
      </c>
      <c r="Q119" s="271">
        <v>136.07</v>
      </c>
      <c r="R119" s="271">
        <v>136.44499999999999</v>
      </c>
      <c r="S119" s="271">
        <v>136.66</v>
      </c>
      <c r="T119" s="271">
        <v>136.13999999999999</v>
      </c>
      <c r="U119" s="271">
        <v>136.99</v>
      </c>
      <c r="V119" s="271">
        <v>134.52000000000001</v>
      </c>
      <c r="W119" s="271">
        <v>135.81</v>
      </c>
      <c r="X119" s="271">
        <v>133.04499999999999</v>
      </c>
      <c r="Y119" s="271">
        <v>133</v>
      </c>
      <c r="Z119" s="273">
        <f ca="1">[1]ExtEntry!$G18</f>
        <v>133</v>
      </c>
      <c r="AA119" s="298"/>
      <c r="AB119" s="281">
        <v>0.18542756254179207</v>
      </c>
      <c r="AC119" s="281">
        <v>0.1634053868886915</v>
      </c>
      <c r="AD119" s="281">
        <v>8.7572725880568927E-2</v>
      </c>
      <c r="AE119" s="281">
        <v>0.41602558888459912</v>
      </c>
      <c r="AF119" s="281">
        <v>0.41602558888459912</v>
      </c>
      <c r="AG119" s="281">
        <v>0.53317234410591041</v>
      </c>
      <c r="AH119" s="281">
        <v>0.64647512001907859</v>
      </c>
      <c r="AI119" s="281">
        <v>1.1025513619695568</v>
      </c>
      <c r="AJ119" s="281">
        <v>0.58733987920661235</v>
      </c>
      <c r="AK119" s="281">
        <v>0.21713798953361321</v>
      </c>
      <c r="AL119" s="281">
        <v>0.64078598699067491</v>
      </c>
      <c r="AM119" s="281">
        <v>0.25779614801159823</v>
      </c>
      <c r="AN119" s="281">
        <v>6.1030026796515639E-2</v>
      </c>
      <c r="AO119" s="281">
        <v>8.7494064985925115E-5</v>
      </c>
      <c r="AP119" s="281">
        <v>8.8729917654027077E-5</v>
      </c>
      <c r="AQ119" s="281">
        <v>1.0168323586969299</v>
      </c>
      <c r="AR119" s="281">
        <v>0.8065207335111334</v>
      </c>
      <c r="AS119" s="281">
        <v>0.69696048282137224</v>
      </c>
      <c r="AT119" s="281">
        <v>0.6723682026229042</v>
      </c>
      <c r="AU119" s="281">
        <v>0.65264001127734961</v>
      </c>
      <c r="AV119" s="285">
        <f ca="1">Calc!AY18</f>
        <v>0.65264001127734961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13.81</v>
      </c>
      <c r="G120" s="271">
        <v>13.744999999999999</v>
      </c>
      <c r="H120" s="271">
        <v>13.675000000000001</v>
      </c>
      <c r="I120" s="271">
        <v>14</v>
      </c>
      <c r="J120" s="271">
        <v>14</v>
      </c>
      <c r="K120" s="271">
        <v>13.85</v>
      </c>
      <c r="L120" s="271">
        <v>14.2</v>
      </c>
      <c r="M120" s="271">
        <v>14.06</v>
      </c>
      <c r="N120" s="271">
        <v>14.17</v>
      </c>
      <c r="O120" s="271">
        <v>14.37</v>
      </c>
      <c r="P120" s="271">
        <v>14.18</v>
      </c>
      <c r="Q120" s="271">
        <v>14.17</v>
      </c>
      <c r="R120" s="271">
        <v>14.345000000000001</v>
      </c>
      <c r="S120" s="271">
        <v>14.34</v>
      </c>
      <c r="T120" s="271">
        <v>14.4</v>
      </c>
      <c r="U120" s="271">
        <v>14.74</v>
      </c>
      <c r="V120" s="271">
        <v>14.64</v>
      </c>
      <c r="W120" s="271">
        <v>14.41</v>
      </c>
      <c r="X120" s="271">
        <v>14.265000000000001</v>
      </c>
      <c r="Y120" s="271">
        <v>14.43</v>
      </c>
      <c r="Z120" s="273">
        <f ca="1">[1]ExtEntry!$G19</f>
        <v>14.43</v>
      </c>
      <c r="AA120" s="298"/>
      <c r="AB120" s="281">
        <v>0.23118906368240669</v>
      </c>
      <c r="AC120" s="281">
        <v>0.2232425590846743</v>
      </c>
      <c r="AD120" s="281">
        <v>0.11420754891959566</v>
      </c>
      <c r="AE120" s="281">
        <v>0.42097593923004056</v>
      </c>
      <c r="AF120" s="281">
        <v>0.42097593923004056</v>
      </c>
      <c r="AG120" s="281">
        <v>0.70972821692238219</v>
      </c>
      <c r="AH120" s="281">
        <v>0.59437408861999352</v>
      </c>
      <c r="AI120" s="281">
        <v>0.9041551021741685</v>
      </c>
      <c r="AJ120" s="281">
        <v>0.80214988019931077</v>
      </c>
      <c r="AK120" s="281">
        <v>8.4053677946890351E-2</v>
      </c>
      <c r="AL120" s="281">
        <v>0.92803505332778402</v>
      </c>
      <c r="AM120" s="281">
        <v>0.14257490752289048</v>
      </c>
      <c r="AN120" s="281">
        <v>6.4567364796158155E-2</v>
      </c>
      <c r="AO120" s="281">
        <v>0.81783423910721453</v>
      </c>
      <c r="AP120" s="281">
        <v>1.0872985730562639E-3</v>
      </c>
      <c r="AQ120" s="281">
        <v>1.0645863880708537</v>
      </c>
      <c r="AR120" s="281">
        <v>0.96612673989653386</v>
      </c>
      <c r="AS120" s="281">
        <v>1.1925593560848859</v>
      </c>
      <c r="AT120" s="281">
        <v>0.84936001181613341</v>
      </c>
      <c r="AU120" s="281">
        <v>1.0440655942660786</v>
      </c>
      <c r="AV120" s="281">
        <f ca="1">Calc!AY19</f>
        <v>1.0440655942660786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16.015000000000001</v>
      </c>
      <c r="G121" s="271">
        <v>16.010000000000002</v>
      </c>
      <c r="H121" s="271">
        <v>15.875</v>
      </c>
      <c r="I121" s="271">
        <v>15.795</v>
      </c>
      <c r="J121" s="271">
        <v>15.795</v>
      </c>
      <c r="K121" s="271">
        <v>15.78</v>
      </c>
      <c r="L121" s="271">
        <v>15.375</v>
      </c>
      <c r="M121" s="271">
        <v>15.545</v>
      </c>
      <c r="N121" s="271">
        <v>15.645</v>
      </c>
      <c r="O121" s="271">
        <v>15.725</v>
      </c>
      <c r="P121" s="271">
        <v>15.275</v>
      </c>
      <c r="Q121" s="271">
        <v>15</v>
      </c>
      <c r="R121" s="271">
        <v>14.664999999999999</v>
      </c>
      <c r="S121" s="271">
        <v>14.84</v>
      </c>
      <c r="T121" s="271">
        <v>14.91</v>
      </c>
      <c r="U121" s="271">
        <v>15.244999999999999</v>
      </c>
      <c r="V121" s="271">
        <v>15.345000000000001</v>
      </c>
      <c r="W121" s="271">
        <v>15.25</v>
      </c>
      <c r="X121" s="271">
        <v>15.34</v>
      </c>
      <c r="Y121" s="271">
        <v>15.35</v>
      </c>
      <c r="Z121" s="273">
        <f ca="1">[1]ExtEntry!$G20</f>
        <v>15.35</v>
      </c>
      <c r="AA121" s="298"/>
      <c r="AB121" s="281">
        <v>0.979873686836639</v>
      </c>
      <c r="AC121" s="281">
        <v>0.35805565009993268</v>
      </c>
      <c r="AD121" s="281">
        <v>0.24217004841141768</v>
      </c>
      <c r="AE121" s="281">
        <v>0.979560329091823</v>
      </c>
      <c r="AF121" s="281">
        <v>0.979560329091823</v>
      </c>
      <c r="AG121" s="281">
        <v>1.5034739578126561</v>
      </c>
      <c r="AH121" s="281">
        <v>0.66571035696316572</v>
      </c>
      <c r="AI121" s="281">
        <v>1.4155756166050699</v>
      </c>
      <c r="AJ121" s="281">
        <v>0.80384016727284047</v>
      </c>
      <c r="AK121" s="281">
        <v>0.49306938398559708</v>
      </c>
      <c r="AL121" s="281">
        <v>0.26765990191014288</v>
      </c>
      <c r="AM121" s="281">
        <v>0.73895903337291724</v>
      </c>
      <c r="AN121" s="281">
        <v>0.40584812997865433</v>
      </c>
      <c r="AO121" s="281">
        <v>0.25667775986688157</v>
      </c>
      <c r="AP121" s="281">
        <v>0.39115581896623441</v>
      </c>
      <c r="AQ121" s="281">
        <v>1.2022287043071129</v>
      </c>
      <c r="AR121" s="281">
        <v>0.70569194452640893</v>
      </c>
      <c r="AS121" s="281">
        <v>0.55841424954895891</v>
      </c>
      <c r="AT121" s="281">
        <v>0.59672243427563043</v>
      </c>
      <c r="AU121" s="281">
        <v>1.2674223751841054</v>
      </c>
      <c r="AV121" s="285">
        <f ca="1">Calc!AY20</f>
        <v>1.2674223751841054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1.92</v>
      </c>
      <c r="G122" s="271">
        <v>1.92</v>
      </c>
      <c r="H122" s="271">
        <v>1.92</v>
      </c>
      <c r="I122" s="271">
        <v>1.91</v>
      </c>
      <c r="J122" s="271">
        <v>1.91</v>
      </c>
      <c r="K122" s="271">
        <v>1.92</v>
      </c>
      <c r="L122" s="271">
        <v>0.74280000000000002</v>
      </c>
      <c r="M122" s="271">
        <v>0.2666</v>
      </c>
      <c r="N122" s="271">
        <v>0.248</v>
      </c>
      <c r="O122" s="271">
        <v>0.22720000000000001</v>
      </c>
      <c r="P122" s="271">
        <v>0.22950000000000001</v>
      </c>
      <c r="Q122" s="271">
        <v>0.23330000000000001</v>
      </c>
      <c r="R122" s="271">
        <v>0.2321</v>
      </c>
      <c r="S122" s="271">
        <v>0.2321</v>
      </c>
      <c r="T122" s="271">
        <v>0.23039999999999999</v>
      </c>
      <c r="U122" s="271">
        <v>0.2329</v>
      </c>
      <c r="V122" s="271">
        <v>0.23269999999999999</v>
      </c>
      <c r="W122" s="271">
        <v>0.23499999999999999</v>
      </c>
      <c r="X122" s="271">
        <v>0.2107</v>
      </c>
      <c r="Y122" s="271">
        <v>0.21099999999999999</v>
      </c>
      <c r="Z122" s="273">
        <f ca="1">[1]ExtEntry!$G21</f>
        <v>0.21099999999999999</v>
      </c>
      <c r="AA122" s="298"/>
      <c r="AB122" s="281">
        <v>0.65609391683908747</v>
      </c>
      <c r="AC122" s="281">
        <v>2.8999668085074645E-2</v>
      </c>
      <c r="AD122" s="281">
        <v>0.28310599969016725</v>
      </c>
      <c r="AE122" s="281">
        <v>0.48248442267450697</v>
      </c>
      <c r="AF122" s="281">
        <v>0.48248442267450697</v>
      </c>
      <c r="AG122" s="281">
        <v>0.48468822079451973</v>
      </c>
      <c r="AH122" s="281">
        <v>385.82882622546987</v>
      </c>
      <c r="AI122" s="281">
        <v>14.238457187816238</v>
      </c>
      <c r="AJ122" s="281">
        <v>1.3334749171234279</v>
      </c>
      <c r="AK122" s="281">
        <v>0.59774643768501012</v>
      </c>
      <c r="AL122" s="281">
        <v>0.76939148391974677</v>
      </c>
      <c r="AM122" s="281">
        <v>0.24275609761947306</v>
      </c>
      <c r="AN122" s="281">
        <v>7.0585160765146399E-2</v>
      </c>
      <c r="AO122" s="281">
        <v>8.002941784105537E-3</v>
      </c>
      <c r="AP122" s="281">
        <v>2.0410057710734335E-2</v>
      </c>
      <c r="AQ122" s="281">
        <v>0.17119482710634001</v>
      </c>
      <c r="AR122" s="281">
        <v>0.18266305868380225</v>
      </c>
      <c r="AS122" s="281">
        <v>0.71288361734304984</v>
      </c>
      <c r="AT122" s="281">
        <v>0.12909604463286564</v>
      </c>
      <c r="AU122" s="281">
        <v>0.1144557343760981</v>
      </c>
      <c r="AV122" s="281">
        <f ca="1">Calc!AY21</f>
        <v>0.1144557343760981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55.84</v>
      </c>
      <c r="G123" s="271">
        <v>56.95</v>
      </c>
      <c r="H123" s="271">
        <v>56.19</v>
      </c>
      <c r="I123" s="271">
        <v>56.53</v>
      </c>
      <c r="J123" s="271">
        <v>56.53</v>
      </c>
      <c r="K123" s="271">
        <v>56.9</v>
      </c>
      <c r="L123" s="271">
        <v>58.2</v>
      </c>
      <c r="M123" s="271">
        <v>58.24</v>
      </c>
      <c r="N123" s="271">
        <v>58.56</v>
      </c>
      <c r="O123" s="271">
        <v>58.97</v>
      </c>
      <c r="P123" s="271">
        <v>58.48</v>
      </c>
      <c r="Q123" s="271">
        <v>57.56</v>
      </c>
      <c r="R123" s="271">
        <v>58.37</v>
      </c>
      <c r="S123" s="271">
        <v>58.12</v>
      </c>
      <c r="T123" s="271">
        <v>58</v>
      </c>
      <c r="U123" s="271">
        <v>58.13</v>
      </c>
      <c r="V123" s="271">
        <v>58.14</v>
      </c>
      <c r="W123" s="271">
        <v>57.88</v>
      </c>
      <c r="X123" s="271">
        <v>57.54</v>
      </c>
      <c r="Y123" s="271">
        <v>59.85</v>
      </c>
      <c r="Z123" s="273">
        <f ca="1">[1]ExtEntry!$G22</f>
        <v>59.85</v>
      </c>
      <c r="AA123" s="298"/>
      <c r="AB123" s="281">
        <v>0.33797311234895733</v>
      </c>
      <c r="AC123" s="281">
        <v>0.14609016408899619</v>
      </c>
      <c r="AD123" s="281">
        <v>0.10382371185609811</v>
      </c>
      <c r="AE123" s="281">
        <v>0.42049209921810227</v>
      </c>
      <c r="AF123" s="281">
        <v>0.42049209921810227</v>
      </c>
      <c r="AG123" s="281">
        <v>0.75456119727342963</v>
      </c>
      <c r="AH123" s="281">
        <v>0.40674324759823599</v>
      </c>
      <c r="AI123" s="281">
        <v>0.81419713358068746</v>
      </c>
      <c r="AJ123" s="281">
        <v>1.2447271476019435</v>
      </c>
      <c r="AK123" s="281">
        <v>0.31608927796861253</v>
      </c>
      <c r="AL123" s="281">
        <v>0.69786835844237005</v>
      </c>
      <c r="AM123" s="281">
        <v>0.34462062923218995</v>
      </c>
      <c r="AN123" s="281">
        <v>8.4474695315107873E-2</v>
      </c>
      <c r="AO123" s="281">
        <v>1.6335583698364795E-4</v>
      </c>
      <c r="AP123" s="281">
        <v>1.7652711169470375E-4</v>
      </c>
      <c r="AQ123" s="281">
        <v>0.96006443083176707</v>
      </c>
      <c r="AR123" s="281">
        <v>0.69972816521146342</v>
      </c>
      <c r="AS123" s="281">
        <v>1.118426782755372</v>
      </c>
      <c r="AT123" s="281">
        <v>0.6641187869319729</v>
      </c>
      <c r="AU123" s="281">
        <v>1.8756512069792939</v>
      </c>
      <c r="AV123" s="285">
        <f ca="1">Calc!AY22</f>
        <v>1.8756512069792939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21.24</v>
      </c>
      <c r="G124" s="271">
        <v>21.38</v>
      </c>
      <c r="H124" s="271">
        <v>21.12</v>
      </c>
      <c r="I124" s="271">
        <v>21.51</v>
      </c>
      <c r="J124" s="271">
        <v>21.51</v>
      </c>
      <c r="K124" s="271">
        <v>21.6</v>
      </c>
      <c r="L124" s="271">
        <v>22.49</v>
      </c>
      <c r="M124" s="271">
        <v>22.55</v>
      </c>
      <c r="N124" s="271">
        <v>22.32</v>
      </c>
      <c r="O124" s="271">
        <v>22.805</v>
      </c>
      <c r="P124" s="271">
        <v>22.84</v>
      </c>
      <c r="Q124" s="271">
        <v>22.02</v>
      </c>
      <c r="R124" s="271">
        <v>22.9</v>
      </c>
      <c r="S124" s="271">
        <v>22.96</v>
      </c>
      <c r="T124" s="271">
        <v>23.9</v>
      </c>
      <c r="U124" s="271">
        <v>23.6</v>
      </c>
      <c r="V124" s="271">
        <v>23.42</v>
      </c>
      <c r="W124" s="271">
        <v>24.01</v>
      </c>
      <c r="X124" s="271">
        <v>24.57</v>
      </c>
      <c r="Y124" s="271">
        <v>24.855</v>
      </c>
      <c r="Z124" s="273">
        <f ca="1">[1]ExtEntry!$G23</f>
        <v>24.855</v>
      </c>
      <c r="AA124" s="298"/>
      <c r="AB124" s="281">
        <v>0.18717775645376461</v>
      </c>
      <c r="AC124" s="281">
        <v>0.19977617142084991</v>
      </c>
      <c r="AD124" s="281">
        <v>0.12786745597648136</v>
      </c>
      <c r="AE124" s="281">
        <v>0.47331930455673793</v>
      </c>
      <c r="AF124" s="281">
        <v>0.47331930455673793</v>
      </c>
      <c r="AG124" s="281">
        <v>1.1560627934793217</v>
      </c>
      <c r="AH124" s="281">
        <v>1.15936482149339</v>
      </c>
      <c r="AI124" s="281">
        <v>1.1318720067983123</v>
      </c>
      <c r="AJ124" s="281">
        <v>1.5366638700418231</v>
      </c>
      <c r="AK124" s="281">
        <v>0.51755003161249535</v>
      </c>
      <c r="AL124" s="281">
        <v>1.2526181498588334</v>
      </c>
      <c r="AM124" s="281">
        <v>0.59105767168130385</v>
      </c>
      <c r="AN124" s="281">
        <v>0.19195534807587364</v>
      </c>
      <c r="AO124" s="281">
        <v>2.6121464209954413E-3</v>
      </c>
      <c r="AP124" s="281">
        <v>3.1036353714735069E-3</v>
      </c>
      <c r="AQ124" s="281">
        <v>0.96621597594160946</v>
      </c>
      <c r="AR124" s="281">
        <v>0.82753738422470124</v>
      </c>
      <c r="AS124" s="281">
        <v>1.064739576030157</v>
      </c>
      <c r="AT124" s="281">
        <v>0.84123703951805773</v>
      </c>
      <c r="AU124" s="281">
        <v>1.0086085497549011</v>
      </c>
      <c r="AV124" s="281">
        <f ca="1">Calc!AY23</f>
        <v>1.0086085497549011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26.625</v>
      </c>
      <c r="G125" s="271">
        <v>27.024999999999999</v>
      </c>
      <c r="H125" s="271">
        <v>26.72</v>
      </c>
      <c r="I125" s="271">
        <v>26.945</v>
      </c>
      <c r="J125" s="271">
        <v>26.945</v>
      </c>
      <c r="K125" s="271">
        <v>26.8</v>
      </c>
      <c r="L125" s="271">
        <v>27.65</v>
      </c>
      <c r="M125" s="271">
        <v>27.35</v>
      </c>
      <c r="N125" s="271">
        <v>27.07</v>
      </c>
      <c r="O125" s="271">
        <v>28.2</v>
      </c>
      <c r="P125" s="271">
        <v>28.1</v>
      </c>
      <c r="Q125" s="271">
        <v>28.03</v>
      </c>
      <c r="R125" s="271">
        <v>28.92</v>
      </c>
      <c r="S125" s="271">
        <v>29</v>
      </c>
      <c r="T125" s="271">
        <v>28.72</v>
      </c>
      <c r="U125" s="271">
        <v>29.28</v>
      </c>
      <c r="V125" s="271">
        <v>29.21</v>
      </c>
      <c r="W125" s="271">
        <v>28.42</v>
      </c>
      <c r="X125" s="271">
        <v>28.495000000000001</v>
      </c>
      <c r="Y125" s="271">
        <v>28.24</v>
      </c>
      <c r="Z125" s="273">
        <f ca="1">[1]ExtEntry!$G24</f>
        <v>28.24</v>
      </c>
      <c r="AA125" s="298"/>
      <c r="AB125" s="281">
        <v>0.32949097271824118</v>
      </c>
      <c r="AC125" s="281">
        <v>0.20237944960811904</v>
      </c>
      <c r="AD125" s="281">
        <v>0.13748117665341766</v>
      </c>
      <c r="AE125" s="281">
        <v>0.5693377180317607</v>
      </c>
      <c r="AF125" s="281">
        <v>0.5693377180317607</v>
      </c>
      <c r="AG125" s="281">
        <v>0.89248606244764173</v>
      </c>
      <c r="AH125" s="281">
        <v>1.1368569782371458</v>
      </c>
      <c r="AI125" s="281">
        <v>1.6152424326720372</v>
      </c>
      <c r="AJ125" s="281">
        <v>1.5383499541885814</v>
      </c>
      <c r="AK125" s="281">
        <v>0.89505598348987592</v>
      </c>
      <c r="AL125" s="281">
        <v>1.5444963867052326</v>
      </c>
      <c r="AM125" s="281">
        <v>0.38753328746799959</v>
      </c>
      <c r="AN125" s="281">
        <v>0.11891611637624483</v>
      </c>
      <c r="AO125" s="281">
        <v>1.0134150821499601E-4</v>
      </c>
      <c r="AP125" s="281">
        <v>2.1954213368625616E-3</v>
      </c>
      <c r="AQ125" s="281">
        <v>0.90079552633085391</v>
      </c>
      <c r="AR125" s="281">
        <v>1.1039690406033078</v>
      </c>
      <c r="AS125" s="281">
        <v>1.0016305112767945</v>
      </c>
      <c r="AT125" s="281">
        <v>0.68480993242331811</v>
      </c>
      <c r="AU125" s="281">
        <v>0.88121744011287773</v>
      </c>
      <c r="AV125" s="285">
        <f ca="1">Calc!AY24</f>
        <v>0.88121744011287773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385.2</v>
      </c>
      <c r="G126" s="271">
        <v>386.7</v>
      </c>
      <c r="H126" s="271">
        <v>387.1</v>
      </c>
      <c r="I126" s="271">
        <v>390</v>
      </c>
      <c r="J126" s="271">
        <v>390</v>
      </c>
      <c r="K126" s="271">
        <v>391.1</v>
      </c>
      <c r="L126" s="271">
        <v>384.8</v>
      </c>
      <c r="M126" s="271">
        <v>391.2</v>
      </c>
      <c r="N126" s="271">
        <v>393.2</v>
      </c>
      <c r="O126" s="271">
        <v>386</v>
      </c>
      <c r="P126" s="271">
        <v>383</v>
      </c>
      <c r="Q126" s="271">
        <v>392.6</v>
      </c>
      <c r="R126" s="271">
        <v>382.4</v>
      </c>
      <c r="S126" s="271">
        <v>388.4</v>
      </c>
      <c r="T126" s="271">
        <v>390.8</v>
      </c>
      <c r="U126" s="271">
        <v>391.4</v>
      </c>
      <c r="V126" s="271">
        <v>394.5</v>
      </c>
      <c r="W126" s="271">
        <v>398</v>
      </c>
      <c r="X126" s="271">
        <v>383.8</v>
      </c>
      <c r="Y126" s="271">
        <v>384.6</v>
      </c>
      <c r="Z126" s="273">
        <f ca="1">[1]ExtEntry!$G25</f>
        <v>384.6</v>
      </c>
      <c r="AA126" s="298"/>
      <c r="AB126" s="281">
        <v>0.53747939064945638</v>
      </c>
      <c r="AC126" s="281">
        <v>0.60155235467059598</v>
      </c>
      <c r="AD126" s="281">
        <v>0.28757699584518059</v>
      </c>
      <c r="AE126" s="281">
        <v>0.80987468355110748</v>
      </c>
      <c r="AF126" s="281">
        <v>0.80987468355110748</v>
      </c>
      <c r="AG126" s="281">
        <v>0.69844097589310827</v>
      </c>
      <c r="AH126" s="281">
        <v>1.1617358198821635</v>
      </c>
      <c r="AI126" s="281">
        <v>1.0879058704161344</v>
      </c>
      <c r="AJ126" s="281">
        <v>0.81844439656613455</v>
      </c>
      <c r="AK126" s="281">
        <v>0.66217371035025874</v>
      </c>
      <c r="AL126" s="281">
        <v>0.40212571833657701</v>
      </c>
      <c r="AM126" s="281">
        <v>1.4219396099513069</v>
      </c>
      <c r="AN126" s="281">
        <v>1.1771924334995709</v>
      </c>
      <c r="AO126" s="281">
        <v>0.88498494702146768</v>
      </c>
      <c r="AP126" s="281">
        <v>1.0950597870966425</v>
      </c>
      <c r="AQ126" s="281">
        <v>0.82028275429294772</v>
      </c>
      <c r="AR126" s="281">
        <v>1.2639292510486118</v>
      </c>
      <c r="AS126" s="281">
        <v>1.715447095367127</v>
      </c>
      <c r="AT126" s="281">
        <v>1.3660271939440694</v>
      </c>
      <c r="AU126" s="281">
        <v>0.78391580326449306</v>
      </c>
      <c r="AV126" s="281">
        <f ca="1">Calc!AY25</f>
        <v>0.78391580326449306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70.584999999999994</v>
      </c>
      <c r="G127" s="271">
        <v>68.95</v>
      </c>
      <c r="H127" s="271">
        <v>69.885000000000005</v>
      </c>
      <c r="I127" s="271">
        <v>69.95</v>
      </c>
      <c r="J127" s="271">
        <v>69.95</v>
      </c>
      <c r="K127" s="271">
        <v>70.67</v>
      </c>
      <c r="L127" s="271">
        <v>69.66</v>
      </c>
      <c r="M127" s="271">
        <v>70.16</v>
      </c>
      <c r="N127" s="271">
        <v>68.989999999999995</v>
      </c>
      <c r="O127" s="271">
        <v>67.8</v>
      </c>
      <c r="P127" s="271">
        <v>67.69</v>
      </c>
      <c r="Q127" s="271">
        <v>68.09</v>
      </c>
      <c r="R127" s="271">
        <v>68.355000000000004</v>
      </c>
      <c r="S127" s="271">
        <v>68.349999999999994</v>
      </c>
      <c r="T127" s="271">
        <v>68.459999999999994</v>
      </c>
      <c r="U127" s="271">
        <v>67.739999999999995</v>
      </c>
      <c r="V127" s="271">
        <v>67.86</v>
      </c>
      <c r="W127" s="271">
        <v>67.38</v>
      </c>
      <c r="X127" s="271">
        <v>69.08</v>
      </c>
      <c r="Y127" s="271">
        <v>67.38</v>
      </c>
      <c r="Z127" s="273">
        <f ca="1">[1]ExtEntry!$G26</f>
        <v>67.38</v>
      </c>
      <c r="AA127" s="298"/>
      <c r="AB127" s="281">
        <v>0.32623491480282213</v>
      </c>
      <c r="AC127" s="281">
        <v>0.1715766522335393</v>
      </c>
      <c r="AD127" s="281">
        <v>0.13275272331171445</v>
      </c>
      <c r="AE127" s="281">
        <v>0.53429804011419024</v>
      </c>
      <c r="AF127" s="281">
        <v>0.53429804011419024</v>
      </c>
      <c r="AG127" s="281">
        <v>0.81072442395243349</v>
      </c>
      <c r="AH127" s="281">
        <v>0.67456208057124933</v>
      </c>
      <c r="AI127" s="281">
        <v>1.1843017806505713</v>
      </c>
      <c r="AJ127" s="281">
        <v>1.1563983752830262</v>
      </c>
      <c r="AK127" s="281">
        <v>0.29600941385475832</v>
      </c>
      <c r="AL127" s="281">
        <v>0.82121219118807154</v>
      </c>
      <c r="AM127" s="281">
        <v>0.30900398548782015</v>
      </c>
      <c r="AN127" s="281">
        <v>0.19439592437388176</v>
      </c>
      <c r="AO127" s="281">
        <v>4.9342444640019952E-6</v>
      </c>
      <c r="AP127" s="281">
        <v>4.0690477957067129E-4</v>
      </c>
      <c r="AQ127" s="281">
        <v>1.5475400717198866</v>
      </c>
      <c r="AR127" s="281">
        <v>1.0672186942234394</v>
      </c>
      <c r="AS127" s="281">
        <v>1.3726953320174771</v>
      </c>
      <c r="AT127" s="281">
        <v>1.766021016109304</v>
      </c>
      <c r="AU127" s="281">
        <v>1.1288481836894104</v>
      </c>
      <c r="AV127" s="285">
        <f ca="1">Calc!AY26</f>
        <v>1.1288481836894104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12.7</v>
      </c>
      <c r="G128" s="271">
        <v>12.63</v>
      </c>
      <c r="H128" s="271">
        <v>12.69</v>
      </c>
      <c r="I128" s="271">
        <v>12.7</v>
      </c>
      <c r="J128" s="271">
        <v>12.7</v>
      </c>
      <c r="K128" s="271">
        <v>12.5</v>
      </c>
      <c r="L128" s="271">
        <v>12.94</v>
      </c>
      <c r="M128" s="271">
        <v>12.68</v>
      </c>
      <c r="N128" s="271">
        <v>12.55</v>
      </c>
      <c r="O128" s="271">
        <v>12.2</v>
      </c>
      <c r="P128" s="271">
        <v>12.19</v>
      </c>
      <c r="Q128" s="271">
        <v>12.13</v>
      </c>
      <c r="R128" s="271">
        <v>12.28</v>
      </c>
      <c r="S128" s="271">
        <v>12.28</v>
      </c>
      <c r="T128" s="271">
        <v>12.09</v>
      </c>
      <c r="U128" s="271">
        <v>12.24</v>
      </c>
      <c r="V128" s="271">
        <v>12.35</v>
      </c>
      <c r="W128" s="271">
        <v>12.18</v>
      </c>
      <c r="X128" s="271">
        <v>12.08</v>
      </c>
      <c r="Y128" s="271">
        <v>12.15</v>
      </c>
      <c r="Z128" s="273">
        <f ca="1">[1]ExtEntry!$G27</f>
        <v>12.15</v>
      </c>
      <c r="AA128" s="298"/>
      <c r="AB128" s="281">
        <v>0.49507877266571987</v>
      </c>
      <c r="AC128" s="281">
        <v>0.86613398086925131</v>
      </c>
      <c r="AD128" s="281">
        <v>0.10513475456004191</v>
      </c>
      <c r="AE128" s="281">
        <v>1.1849722642460918</v>
      </c>
      <c r="AF128" s="281">
        <v>1.1849722642460918</v>
      </c>
      <c r="AG128" s="281">
        <v>0.69881777688469138</v>
      </c>
      <c r="AH128" s="281">
        <v>0.37649990612251866</v>
      </c>
      <c r="AI128" s="281">
        <v>0.51674376855623838</v>
      </c>
      <c r="AJ128" s="281">
        <v>1.0874324785097715</v>
      </c>
      <c r="AK128" s="281">
        <v>0.40657808992831801</v>
      </c>
      <c r="AL128" s="281">
        <v>1.2621297742383535</v>
      </c>
      <c r="AM128" s="281">
        <v>0.10610910576857591</v>
      </c>
      <c r="AN128" s="281">
        <v>3.5038333526518854E-2</v>
      </c>
      <c r="AO128" s="281">
        <v>2.3301485320660364</v>
      </c>
      <c r="AP128" s="281">
        <v>1.5579245339837986</v>
      </c>
      <c r="AQ128" s="281">
        <v>0.65617949748122506</v>
      </c>
      <c r="AR128" s="281">
        <v>1.1037229464327631</v>
      </c>
      <c r="AS128" s="281">
        <v>1.236514458485154</v>
      </c>
      <c r="AT128" s="281">
        <v>1.9755382046305907</v>
      </c>
      <c r="AU128" s="281">
        <v>0.84198483169513727</v>
      </c>
      <c r="AV128" s="281">
        <f ca="1">Calc!AY27</f>
        <v>0.84198483169513727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4.41</v>
      </c>
      <c r="G129" s="271">
        <v>4.41</v>
      </c>
      <c r="H129" s="271">
        <v>4.5549999999999997</v>
      </c>
      <c r="I129" s="271">
        <v>4.7</v>
      </c>
      <c r="J129" s="271">
        <v>4.7</v>
      </c>
      <c r="K129" s="271">
        <v>4.5199999999999996</v>
      </c>
      <c r="L129" s="271">
        <v>4.6100000000000003</v>
      </c>
      <c r="M129" s="271">
        <v>4.66</v>
      </c>
      <c r="N129" s="271">
        <v>4.7</v>
      </c>
      <c r="O129" s="271">
        <v>5.335</v>
      </c>
      <c r="P129" s="271">
        <v>5.0199999999999996</v>
      </c>
      <c r="Q129" s="271">
        <v>4.82</v>
      </c>
      <c r="R129" s="271">
        <v>4.75</v>
      </c>
      <c r="S129" s="271">
        <v>4.75</v>
      </c>
      <c r="T129" s="271">
        <v>4.75</v>
      </c>
      <c r="U129" s="271">
        <v>4.68</v>
      </c>
      <c r="V129" s="271">
        <v>5.1100000000000003</v>
      </c>
      <c r="W129" s="271">
        <v>5.61</v>
      </c>
      <c r="X129" s="271">
        <v>6.19</v>
      </c>
      <c r="Y129" s="271">
        <v>6.06</v>
      </c>
      <c r="Z129" s="273">
        <f ca="1">[1]ExtEntry!$G28</f>
        <v>6.06</v>
      </c>
      <c r="AA129" s="298"/>
      <c r="AB129" s="281">
        <v>0.44764105224957618</v>
      </c>
      <c r="AC129" s="281">
        <v>0.41749886831193794</v>
      </c>
      <c r="AD129" s="281">
        <v>0.48719759684338915</v>
      </c>
      <c r="AE129" s="281">
        <v>0.68526013553126286</v>
      </c>
      <c r="AF129" s="281">
        <v>0.68526013553126286</v>
      </c>
      <c r="AG129" s="281">
        <v>0.7761448101004701</v>
      </c>
      <c r="AH129" s="281">
        <v>0.74066730149964699</v>
      </c>
      <c r="AI129" s="281">
        <v>0.80648094179858443</v>
      </c>
      <c r="AJ129" s="281">
        <v>1.6891057275829464</v>
      </c>
      <c r="AK129" s="281">
        <v>0.72030698174762919</v>
      </c>
      <c r="AL129" s="281">
        <v>0.71064971502785523</v>
      </c>
      <c r="AM129" s="281">
        <v>0.29237854340780417</v>
      </c>
      <c r="AN129" s="281">
        <v>8.6020335014355132E-2</v>
      </c>
      <c r="AO129" s="281">
        <v>5.1143264997920913E-2</v>
      </c>
      <c r="AP129" s="281">
        <v>1.3083884586529718E-2</v>
      </c>
      <c r="AQ129" s="281">
        <v>1.2719269374249136</v>
      </c>
      <c r="AR129" s="281">
        <v>1.7574374807582094</v>
      </c>
      <c r="AS129" s="281">
        <v>1.9568524276281787</v>
      </c>
      <c r="AT129" s="281">
        <v>1.4822986433284131</v>
      </c>
      <c r="AU129" s="281">
        <v>0.9738413012271655</v>
      </c>
      <c r="AV129" s="285">
        <f ca="1">Calc!AY28</f>
        <v>0.9738413012271655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26.39</v>
      </c>
      <c r="G130" s="271">
        <v>26.97</v>
      </c>
      <c r="H130" s="271">
        <v>28.21</v>
      </c>
      <c r="I130" s="271">
        <v>28.15</v>
      </c>
      <c r="J130" s="271">
        <v>28.15</v>
      </c>
      <c r="K130" s="271">
        <v>27.72</v>
      </c>
      <c r="L130" s="271">
        <v>27.12</v>
      </c>
      <c r="M130" s="271">
        <v>25.35</v>
      </c>
      <c r="N130" s="271">
        <v>24.75</v>
      </c>
      <c r="O130" s="271">
        <v>25</v>
      </c>
      <c r="P130" s="271">
        <v>24.25</v>
      </c>
      <c r="Q130" s="271">
        <v>23.93</v>
      </c>
      <c r="R130" s="271">
        <v>24.16</v>
      </c>
      <c r="S130" s="271">
        <v>24.16</v>
      </c>
      <c r="T130" s="271">
        <v>23.81</v>
      </c>
      <c r="U130" s="271">
        <v>24.925000000000001</v>
      </c>
      <c r="V130" s="271">
        <v>24.91</v>
      </c>
      <c r="W130" s="271">
        <v>24.58</v>
      </c>
      <c r="X130" s="271">
        <v>24.5</v>
      </c>
      <c r="Y130" s="271">
        <v>25.225000000000001</v>
      </c>
      <c r="Z130" s="273">
        <f ca="1">[1]ExtEntry!$G29</f>
        <v>25.225000000000001</v>
      </c>
      <c r="AA130" s="298"/>
      <c r="AB130" s="281">
        <v>0.34449978011314769</v>
      </c>
      <c r="AC130" s="281">
        <v>0.42164780475709757</v>
      </c>
      <c r="AD130" s="281">
        <v>0.20438623820251334</v>
      </c>
      <c r="AE130" s="281">
        <v>0.45917745717090241</v>
      </c>
      <c r="AF130" s="281">
        <v>0.45917745717090241</v>
      </c>
      <c r="AG130" s="281">
        <v>0.8449611606454136</v>
      </c>
      <c r="AH130" s="281">
        <v>1.5870677817848939</v>
      </c>
      <c r="AI130" s="281">
        <v>1.5186185596857058</v>
      </c>
      <c r="AJ130" s="281">
        <v>2.1330878919755834</v>
      </c>
      <c r="AK130" s="281">
        <v>0.32081643976095614</v>
      </c>
      <c r="AL130" s="281">
        <v>0.91072045433611848</v>
      </c>
      <c r="AM130" s="281">
        <v>0.51706703697031831</v>
      </c>
      <c r="AN130" s="281">
        <v>0.2212461900004456</v>
      </c>
      <c r="AO130" s="281">
        <v>1.9077587603441046E-3</v>
      </c>
      <c r="AP130" s="281">
        <v>1.1136989713315341E-2</v>
      </c>
      <c r="AQ130" s="281">
        <v>1.3464524569419341</v>
      </c>
      <c r="AR130" s="281">
        <v>1.0189797105163452</v>
      </c>
      <c r="AS130" s="281">
        <v>0.85105480405334555</v>
      </c>
      <c r="AT130" s="281">
        <v>1.0143720492290433</v>
      </c>
      <c r="AU130" s="281">
        <v>3.179281276546623</v>
      </c>
      <c r="AV130" s="281">
        <f ca="1">Calc!AY29</f>
        <v>3.179281276546623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522.78</v>
      </c>
      <c r="G131" s="271">
        <v>523.01</v>
      </c>
      <c r="H131" s="271">
        <v>521.55999999999995</v>
      </c>
      <c r="I131" s="271">
        <v>515</v>
      </c>
      <c r="J131" s="271">
        <v>515</v>
      </c>
      <c r="K131" s="271">
        <v>509.86500000000001</v>
      </c>
      <c r="L131" s="271">
        <v>506.63</v>
      </c>
      <c r="M131" s="271">
        <v>504.35500000000002</v>
      </c>
      <c r="N131" s="271">
        <v>502</v>
      </c>
      <c r="O131" s="271">
        <v>507.03</v>
      </c>
      <c r="P131" s="271">
        <v>508.66</v>
      </c>
      <c r="Q131" s="271">
        <v>500</v>
      </c>
      <c r="R131" s="271">
        <v>503.84</v>
      </c>
      <c r="S131" s="271">
        <v>503.79</v>
      </c>
      <c r="T131" s="271">
        <v>504.3</v>
      </c>
      <c r="U131" s="271">
        <v>498.10500000000002</v>
      </c>
      <c r="V131" s="271">
        <v>501.43</v>
      </c>
      <c r="W131" s="271">
        <v>502.98</v>
      </c>
      <c r="X131" s="271">
        <v>502.06</v>
      </c>
      <c r="Y131" s="271">
        <v>506.65</v>
      </c>
      <c r="Z131" s="273">
        <f ca="1">[1]ExtEntry!$G30</f>
        <v>506.65</v>
      </c>
      <c r="AA131" s="298"/>
      <c r="AB131" s="281">
        <v>0.43265049531917565</v>
      </c>
      <c r="AC131" s="281">
        <v>0.33352852378823827</v>
      </c>
      <c r="AD131" s="281">
        <v>0.18175770212992076</v>
      </c>
      <c r="AE131" s="281">
        <v>0.71163331816577535</v>
      </c>
      <c r="AF131" s="281">
        <v>0.71163331816577535</v>
      </c>
      <c r="AG131" s="281">
        <v>1.3366251373643283</v>
      </c>
      <c r="AH131" s="281">
        <v>1.0111726272876456</v>
      </c>
      <c r="AI131" s="281">
        <v>1.4140631092566918</v>
      </c>
      <c r="AJ131" s="281">
        <v>0.76938112132966174</v>
      </c>
      <c r="AK131" s="281">
        <v>0.20451063755311275</v>
      </c>
      <c r="AL131" s="281">
        <v>0.93696405830788332</v>
      </c>
      <c r="AM131" s="281">
        <v>0.28432666989246214</v>
      </c>
      <c r="AN131" s="281">
        <v>0.1156866881710208</v>
      </c>
      <c r="AO131" s="281">
        <v>8.0157852291139696E-4</v>
      </c>
      <c r="AP131" s="281">
        <v>4.9408355328665401E-3</v>
      </c>
      <c r="AQ131" s="281">
        <v>0.77934131098005333</v>
      </c>
      <c r="AR131" s="281">
        <v>0.67758091690089228</v>
      </c>
      <c r="AS131" s="281">
        <v>1.0504466658228588</v>
      </c>
      <c r="AT131" s="281">
        <v>0.61059858006705281</v>
      </c>
      <c r="AU131" s="281">
        <v>1.1464970251381266</v>
      </c>
      <c r="AV131" s="285">
        <f ca="1">Calc!AY30</f>
        <v>1.1464970251381266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71.849999999999994</v>
      </c>
      <c r="G132" s="271">
        <v>72.23</v>
      </c>
      <c r="H132" s="271">
        <v>76.02</v>
      </c>
      <c r="I132" s="271">
        <v>75.81</v>
      </c>
      <c r="J132" s="271">
        <v>75.81</v>
      </c>
      <c r="K132" s="271">
        <v>76.72</v>
      </c>
      <c r="L132" s="271">
        <v>75.81</v>
      </c>
      <c r="M132" s="271">
        <v>75.44</v>
      </c>
      <c r="N132" s="271">
        <v>74.91</v>
      </c>
      <c r="O132" s="271">
        <v>73.16</v>
      </c>
      <c r="P132" s="271">
        <v>72.400000000000006</v>
      </c>
      <c r="Q132" s="271">
        <v>72.010000000000005</v>
      </c>
      <c r="R132" s="271">
        <v>72.33</v>
      </c>
      <c r="S132" s="271">
        <v>72.12</v>
      </c>
      <c r="T132" s="271">
        <v>72.05</v>
      </c>
      <c r="U132" s="271">
        <v>70.83</v>
      </c>
      <c r="V132" s="271">
        <v>69.66</v>
      </c>
      <c r="W132" s="271">
        <v>70</v>
      </c>
      <c r="X132" s="271">
        <v>70.89</v>
      </c>
      <c r="Y132" s="271">
        <v>71.150000000000006</v>
      </c>
      <c r="Z132" s="273">
        <f ca="1">[1]ExtEntry!$G31</f>
        <v>71.150000000000006</v>
      </c>
      <c r="AA132" s="298"/>
      <c r="AB132" s="281">
        <v>0.26590260496389023</v>
      </c>
      <c r="AC132" s="281">
        <v>0.37564059543891726</v>
      </c>
      <c r="AD132" s="281">
        <v>0.36858439999812392</v>
      </c>
      <c r="AE132" s="281">
        <v>0.55865781367922285</v>
      </c>
      <c r="AF132" s="281">
        <v>0.55865781367922285</v>
      </c>
      <c r="AG132" s="281">
        <v>1.1941428513174321</v>
      </c>
      <c r="AH132" s="281">
        <v>0.66229670124913431</v>
      </c>
      <c r="AI132" s="281">
        <v>0.75443122312771504</v>
      </c>
      <c r="AJ132" s="281">
        <v>1.0746098614847337</v>
      </c>
      <c r="AK132" s="281">
        <v>0.18502083152866999</v>
      </c>
      <c r="AL132" s="281">
        <v>1.2647564565090006</v>
      </c>
      <c r="AM132" s="281">
        <v>0.30680469638783325</v>
      </c>
      <c r="AN132" s="281">
        <v>8.5198361663289882E-2</v>
      </c>
      <c r="AO132" s="281">
        <v>2.4582077239324035E-4</v>
      </c>
      <c r="AP132" s="281">
        <v>6.2384054990113985E-2</v>
      </c>
      <c r="AQ132" s="281">
        <v>1.330231064858477</v>
      </c>
      <c r="AR132" s="281">
        <v>0.75097787964192164</v>
      </c>
      <c r="AS132" s="281">
        <v>0.95020826658122393</v>
      </c>
      <c r="AT132" s="281">
        <v>0.52262965960836583</v>
      </c>
      <c r="AU132" s="281">
        <v>0.95237938910510245</v>
      </c>
      <c r="AV132" s="281">
        <f ca="1">Calc!AY31</f>
        <v>0.95237938910510245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68.7</v>
      </c>
      <c r="G133" s="271">
        <v>68.77</v>
      </c>
      <c r="H133" s="271">
        <v>69.459999999999994</v>
      </c>
      <c r="I133" s="271">
        <v>68.81</v>
      </c>
      <c r="J133" s="271">
        <v>68.81</v>
      </c>
      <c r="K133" s="271">
        <v>67.92</v>
      </c>
      <c r="L133" s="271">
        <v>70.91</v>
      </c>
      <c r="M133" s="271">
        <v>70.91</v>
      </c>
      <c r="N133" s="271">
        <v>71.91</v>
      </c>
      <c r="O133" s="271">
        <v>72.44</v>
      </c>
      <c r="P133" s="271">
        <v>72.900000000000006</v>
      </c>
      <c r="Q133" s="271">
        <v>75.42</v>
      </c>
      <c r="R133" s="271">
        <v>76.3</v>
      </c>
      <c r="S133" s="271">
        <v>76.3</v>
      </c>
      <c r="T133" s="271">
        <v>74.349999999999994</v>
      </c>
      <c r="U133" s="271">
        <v>76.69</v>
      </c>
      <c r="V133" s="271">
        <v>76.27</v>
      </c>
      <c r="W133" s="271">
        <v>77.33</v>
      </c>
      <c r="X133" s="271">
        <v>77.67</v>
      </c>
      <c r="Y133" s="271">
        <v>79.72</v>
      </c>
      <c r="Z133" s="273">
        <f ca="1">[1]ExtEntry!$G32</f>
        <v>79.72</v>
      </c>
      <c r="AA133" s="298"/>
      <c r="AB133" s="281">
        <v>0.20176454347004638</v>
      </c>
      <c r="AC133" s="281">
        <v>0.20127505573978494</v>
      </c>
      <c r="AD133" s="281">
        <v>0.11041456794446601</v>
      </c>
      <c r="AE133" s="281">
        <v>0.47637263937481783</v>
      </c>
      <c r="AF133" s="281">
        <v>0.47637263937481783</v>
      </c>
      <c r="AG133" s="281">
        <v>0.70108492327279071</v>
      </c>
      <c r="AH133" s="281">
        <v>0.93873202529789901</v>
      </c>
      <c r="AI133" s="281">
        <v>1.0769899569263528</v>
      </c>
      <c r="AJ133" s="281">
        <v>0.89922773803606293</v>
      </c>
      <c r="AK133" s="281">
        <v>0.23223295265500835</v>
      </c>
      <c r="AL133" s="281">
        <v>0.83437476067485838</v>
      </c>
      <c r="AM133" s="281">
        <v>0.8135809177200809</v>
      </c>
      <c r="AN133" s="281">
        <v>0.18887297496016203</v>
      </c>
      <c r="AO133" s="281">
        <v>2.7182751730867524E-3</v>
      </c>
      <c r="AP133" s="281">
        <v>6.9027584851023794E-3</v>
      </c>
      <c r="AQ133" s="281">
        <v>1.1603128962261604</v>
      </c>
      <c r="AR133" s="281">
        <v>1.2065255350716262</v>
      </c>
      <c r="AS133" s="281">
        <v>1.4150719572456014</v>
      </c>
      <c r="AT133" s="281">
        <v>0.80225853152762816</v>
      </c>
      <c r="AU133" s="281">
        <v>0.94519567236959046</v>
      </c>
      <c r="AV133" s="285">
        <f ca="1">Calc!AY32</f>
        <v>0.94519567236959046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1209.8900000000001</v>
      </c>
      <c r="G134" s="271">
        <v>1235.4000000000001</v>
      </c>
      <c r="H134" s="271">
        <v>1235.6300000000001</v>
      </c>
      <c r="I134" s="271">
        <v>1240.2</v>
      </c>
      <c r="J134" s="271">
        <v>1240.2</v>
      </c>
      <c r="K134" s="271">
        <v>1218</v>
      </c>
      <c r="L134" s="271">
        <v>1201.6500000000001</v>
      </c>
      <c r="M134" s="271">
        <v>1220.21</v>
      </c>
      <c r="N134" s="271">
        <v>1223.6099999999999</v>
      </c>
      <c r="O134" s="271">
        <v>1222.79</v>
      </c>
      <c r="P134" s="271">
        <v>1227.97</v>
      </c>
      <c r="Q134" s="271">
        <v>1197.02</v>
      </c>
      <c r="R134" s="271">
        <v>1205</v>
      </c>
      <c r="S134" s="271">
        <v>1205.1400000000001</v>
      </c>
      <c r="T134" s="271">
        <v>1223.2</v>
      </c>
      <c r="U134" s="271">
        <v>1248.54</v>
      </c>
      <c r="V134" s="271">
        <v>1246.67</v>
      </c>
      <c r="W134" s="271">
        <v>1263.9749999999999</v>
      </c>
      <c r="X134" s="271">
        <v>1250.165</v>
      </c>
      <c r="Y134" s="271">
        <v>1203.0550000000001</v>
      </c>
      <c r="Z134" s="273">
        <f ca="1">[1]ExtEntry!$G33</f>
        <v>1203.0550000000001</v>
      </c>
      <c r="AA134" s="298"/>
      <c r="AB134" s="281">
        <v>0.62280112180772262</v>
      </c>
      <c r="AC134" s="281">
        <v>0.34724734372381877</v>
      </c>
      <c r="AD134" s="281">
        <v>0.17397163727083192</v>
      </c>
      <c r="AE134" s="281">
        <v>0.80961791920297654</v>
      </c>
      <c r="AF134" s="281">
        <v>0.80961791920297654</v>
      </c>
      <c r="AG134" s="281">
        <v>0.63849365403267022</v>
      </c>
      <c r="AH134" s="281">
        <v>0.8702740894170764</v>
      </c>
      <c r="AI134" s="281">
        <v>0.63600379616384617</v>
      </c>
      <c r="AJ134" s="281">
        <v>0.55446712418208932</v>
      </c>
      <c r="AK134" s="281">
        <v>0.20584683322583436</v>
      </c>
      <c r="AL134" s="281">
        <v>1.1502487430089876</v>
      </c>
      <c r="AM134" s="281">
        <v>0.36845686022692298</v>
      </c>
      <c r="AN134" s="281">
        <v>0.19330672671735302</v>
      </c>
      <c r="AO134" s="281">
        <v>6.8686209031912837E-4</v>
      </c>
      <c r="AP134" s="281">
        <v>8.1880533741377944E-3</v>
      </c>
      <c r="AQ134" s="281">
        <v>0.70345986467280974</v>
      </c>
      <c r="AR134" s="281">
        <v>0.83812045043400962</v>
      </c>
      <c r="AS134" s="281">
        <v>1.021604546651087</v>
      </c>
      <c r="AT134" s="281">
        <v>1.8760157862302766</v>
      </c>
      <c r="AU134" s="281">
        <v>1.3793701530863187</v>
      </c>
      <c r="AV134" s="281">
        <f ca="1">Calc!AY33</f>
        <v>1.3793701530863187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0.54859999999999998</v>
      </c>
      <c r="G135" s="271">
        <v>0.52880000000000005</v>
      </c>
      <c r="H135" s="271">
        <v>0.52090000000000003</v>
      </c>
      <c r="I135" s="271">
        <v>0.53300000000000003</v>
      </c>
      <c r="J135" s="271">
        <v>0.53300000000000003</v>
      </c>
      <c r="K135" s="271">
        <v>0.51</v>
      </c>
      <c r="L135" s="271">
        <v>0.44</v>
      </c>
      <c r="M135" s="271">
        <v>0.43</v>
      </c>
      <c r="N135" s="271">
        <v>0.42</v>
      </c>
      <c r="O135" s="271">
        <v>0.43290000000000001</v>
      </c>
      <c r="P135" s="271">
        <v>0.41620000000000001</v>
      </c>
      <c r="Q135" s="271">
        <v>5.0049999999999999</v>
      </c>
      <c r="R135" s="271">
        <v>5.22</v>
      </c>
      <c r="S135" s="271">
        <v>5.14</v>
      </c>
      <c r="T135" s="271">
        <v>4.58</v>
      </c>
      <c r="U135" s="271">
        <v>4.0599999999999996</v>
      </c>
      <c r="V135" s="271">
        <v>4.5</v>
      </c>
      <c r="W135" s="271">
        <v>4.75</v>
      </c>
      <c r="X135" s="271">
        <v>5.16</v>
      </c>
      <c r="Y135" s="271">
        <v>4.9400000000000004</v>
      </c>
      <c r="Z135" s="273">
        <f ca="1">[1]ExtEntry!$G34</f>
        <v>4.9400000000000004</v>
      </c>
      <c r="AA135" s="298"/>
      <c r="AB135" s="281">
        <v>0.48617093418581875</v>
      </c>
      <c r="AC135" s="281">
        <v>0.18051525457243786</v>
      </c>
      <c r="AD135" s="281">
        <v>0.10483987642570566</v>
      </c>
      <c r="AE135" s="281">
        <v>0.9131000440115471</v>
      </c>
      <c r="AF135" s="281">
        <v>0.9131000440115471</v>
      </c>
      <c r="AG135" s="281">
        <v>0.53144012321235823</v>
      </c>
      <c r="AH135" s="281">
        <v>3.6608809350477931</v>
      </c>
      <c r="AI135" s="281">
        <v>1.9479466850503184</v>
      </c>
      <c r="AJ135" s="281">
        <v>1.991733491868483</v>
      </c>
      <c r="AK135" s="281">
        <v>0.35793032533080116</v>
      </c>
      <c r="AL135" s="281">
        <v>0.69231054008511261</v>
      </c>
      <c r="AM135" s="281">
        <v>0.72633902601580291</v>
      </c>
      <c r="AN135" s="281">
        <v>0.32301410487178733</v>
      </c>
      <c r="AO135" s="281">
        <v>7.155714243559857E-4</v>
      </c>
      <c r="AP135" s="281">
        <v>9.2757677292428769E-3</v>
      </c>
      <c r="AQ135" s="281">
        <v>1.29989943208708</v>
      </c>
      <c r="AR135" s="281">
        <v>1.073985671611746</v>
      </c>
      <c r="AS135" s="281">
        <v>1.946499737761302</v>
      </c>
      <c r="AT135" s="281">
        <v>0.70318240760752104</v>
      </c>
      <c r="AU135" s="281">
        <v>1.2741240486159375</v>
      </c>
      <c r="AV135" s="285">
        <f ca="1">Calc!AY34</f>
        <v>1.2741240486159375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31.46</v>
      </c>
      <c r="G136" s="271">
        <v>31.43</v>
      </c>
      <c r="H136" s="271">
        <v>31.614999999999998</v>
      </c>
      <c r="I136" s="271">
        <v>31.62</v>
      </c>
      <c r="J136" s="271">
        <v>31.62</v>
      </c>
      <c r="K136" s="271">
        <v>30.77</v>
      </c>
      <c r="L136" s="271">
        <v>32.47</v>
      </c>
      <c r="M136" s="271">
        <v>32.57</v>
      </c>
      <c r="N136" s="271">
        <v>32.47</v>
      </c>
      <c r="O136" s="271">
        <v>33.134999999999998</v>
      </c>
      <c r="P136" s="271">
        <v>32.950000000000003</v>
      </c>
      <c r="Q136" s="271">
        <v>34.99</v>
      </c>
      <c r="R136" s="271">
        <v>34.71</v>
      </c>
      <c r="S136" s="271">
        <v>34.78</v>
      </c>
      <c r="T136" s="271">
        <v>33.5</v>
      </c>
      <c r="U136" s="271">
        <v>35.81</v>
      </c>
      <c r="V136" s="271">
        <v>35.950000000000003</v>
      </c>
      <c r="W136" s="271">
        <v>35.869999999999997</v>
      </c>
      <c r="X136" s="271">
        <v>36.020000000000003</v>
      </c>
      <c r="Y136" s="271">
        <v>37.479999999999997</v>
      </c>
      <c r="Z136" s="273">
        <f ca="1">[1]ExtEntry!$G35</f>
        <v>37.479999999999997</v>
      </c>
      <c r="AA136" s="298"/>
      <c r="AB136" s="281">
        <v>0.24326885069564264</v>
      </c>
      <c r="AC136" s="281">
        <v>0.14791808175615179</v>
      </c>
      <c r="AD136" s="281">
        <v>0.10312596389113964</v>
      </c>
      <c r="AE136" s="281">
        <v>0.53973614453683039</v>
      </c>
      <c r="AF136" s="281">
        <v>0.53973614453683039</v>
      </c>
      <c r="AG136" s="281">
        <v>1.0616514145239531</v>
      </c>
      <c r="AH136" s="281">
        <v>0.64514099287968041</v>
      </c>
      <c r="AI136" s="281">
        <v>0.754346718613772</v>
      </c>
      <c r="AJ136" s="281">
        <v>0.77195408265802523</v>
      </c>
      <c r="AK136" s="281">
        <v>0.27978240267812088</v>
      </c>
      <c r="AL136" s="281">
        <v>0.96527228415214439</v>
      </c>
      <c r="AM136" s="281">
        <v>1.0080847690997294</v>
      </c>
      <c r="AN136" s="281">
        <v>0.26921721797039566</v>
      </c>
      <c r="AO136" s="281">
        <v>2.6462662781091169E-3</v>
      </c>
      <c r="AP136" s="281">
        <v>1.0784608289569401E-2</v>
      </c>
      <c r="AQ136" s="281">
        <v>1.8090432181248097</v>
      </c>
      <c r="AR136" s="281">
        <v>1.5292026848570264</v>
      </c>
      <c r="AS136" s="281">
        <v>1.3410367358366784</v>
      </c>
      <c r="AT136" s="281">
        <v>0.72144185750507317</v>
      </c>
      <c r="AU136" s="281">
        <v>1.2569074724340359</v>
      </c>
      <c r="AV136" s="281">
        <f ca="1">Calc!AY35</f>
        <v>1.2569074724340359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5.5250000000000004</v>
      </c>
      <c r="G137" s="271">
        <v>5.13</v>
      </c>
      <c r="H137" s="271">
        <v>4.4800000000000004</v>
      </c>
      <c r="I137" s="271">
        <v>4.5999999999999996</v>
      </c>
      <c r="J137" s="271">
        <v>4.5999999999999996</v>
      </c>
      <c r="K137" s="271">
        <v>4.5199999999999996</v>
      </c>
      <c r="L137" s="271">
        <v>4.72</v>
      </c>
      <c r="M137" s="271">
        <v>4.6900000000000004</v>
      </c>
      <c r="N137" s="271">
        <v>4.47</v>
      </c>
      <c r="O137" s="271">
        <v>4.59</v>
      </c>
      <c r="P137" s="271">
        <v>4.49</v>
      </c>
      <c r="Q137" s="271">
        <v>4.4800000000000004</v>
      </c>
      <c r="R137" s="271">
        <v>4.4800000000000004</v>
      </c>
      <c r="S137" s="271">
        <v>4.4800000000000004</v>
      </c>
      <c r="T137" s="271">
        <v>4.37</v>
      </c>
      <c r="U137" s="271">
        <v>4.18</v>
      </c>
      <c r="V137" s="271">
        <v>4.07</v>
      </c>
      <c r="W137" s="271">
        <v>4.09</v>
      </c>
      <c r="X137" s="271">
        <v>3.89</v>
      </c>
      <c r="Y137" s="271">
        <v>4.01</v>
      </c>
      <c r="Z137" s="273">
        <f ca="1">[1]ExtEntry!$G36</f>
        <v>4.01</v>
      </c>
      <c r="AA137" s="298"/>
      <c r="AB137" s="281">
        <v>0.11891706648389308</v>
      </c>
      <c r="AC137" s="281">
        <v>9.3410082404265626</v>
      </c>
      <c r="AD137" s="281">
        <v>30.566786934692551</v>
      </c>
      <c r="AE137" s="281">
        <v>0.98831969457526869</v>
      </c>
      <c r="AF137" s="281">
        <v>0.98831969457526869</v>
      </c>
      <c r="AG137" s="281">
        <v>0.65785087485634697</v>
      </c>
      <c r="AH137" s="281">
        <v>0.27398063507337023</v>
      </c>
      <c r="AI137" s="281">
        <v>0.25201602336116208</v>
      </c>
      <c r="AJ137" s="281">
        <v>0.21077204646472192</v>
      </c>
      <c r="AK137" s="281">
        <v>0.32240302982953489</v>
      </c>
      <c r="AL137" s="281">
        <v>0.27697623293662427</v>
      </c>
      <c r="AM137" s="281">
        <v>0.15157159829272943</v>
      </c>
      <c r="AN137" s="281">
        <v>5.2412124039597028E-3</v>
      </c>
      <c r="AO137" s="281">
        <v>0.26456094822935955</v>
      </c>
      <c r="AP137" s="281">
        <v>0.26392471750899249</v>
      </c>
      <c r="AQ137" s="281">
        <v>0.62947097412326003</v>
      </c>
      <c r="AR137" s="281">
        <v>0.35908338565150388</v>
      </c>
      <c r="AS137" s="281">
        <v>0.50087874707674862</v>
      </c>
      <c r="AT137" s="281">
        <v>0.73779278742739429</v>
      </c>
      <c r="AU137" s="281">
        <v>0.42163988474349978</v>
      </c>
      <c r="AV137" s="285">
        <f ca="1">Calc!AY36</f>
        <v>0.42163988474349978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</v>
      </c>
      <c r="G138" s="271">
        <v>5.09</v>
      </c>
      <c r="H138" s="271">
        <v>4.97</v>
      </c>
      <c r="I138" s="271">
        <v>5.05</v>
      </c>
      <c r="J138" s="271">
        <v>5.05</v>
      </c>
      <c r="K138" s="271">
        <v>4.82</v>
      </c>
      <c r="L138" s="271">
        <v>5.47</v>
      </c>
      <c r="M138" s="271">
        <v>5.3</v>
      </c>
      <c r="N138" s="271">
        <v>5.4</v>
      </c>
      <c r="O138" s="271">
        <v>5.37</v>
      </c>
      <c r="P138" s="271">
        <v>5.73</v>
      </c>
      <c r="Q138" s="271">
        <v>5.17</v>
      </c>
      <c r="R138" s="271">
        <v>5.28</v>
      </c>
      <c r="S138" s="271">
        <v>5.28</v>
      </c>
      <c r="T138" s="271">
        <v>5.07</v>
      </c>
      <c r="U138" s="271">
        <v>5.32</v>
      </c>
      <c r="V138" s="271">
        <v>5.34</v>
      </c>
      <c r="W138" s="271">
        <v>5.3</v>
      </c>
      <c r="X138" s="271">
        <v>5.65</v>
      </c>
      <c r="Y138" s="271">
        <v>5.43</v>
      </c>
      <c r="Z138" s="273">
        <f ca="1">[1]ExtEntry!$G37</f>
        <v>5.43</v>
      </c>
      <c r="AA138" s="298"/>
      <c r="AB138" s="281">
        <v>0.35400895426768647</v>
      </c>
      <c r="AC138" s="281">
        <v>0.14327605166131224</v>
      </c>
      <c r="AD138" s="281">
        <v>0.26653074099190149</v>
      </c>
      <c r="AE138" s="281">
        <v>0.41020373455534015</v>
      </c>
      <c r="AF138" s="281">
        <v>0.41020373455534015</v>
      </c>
      <c r="AG138" s="281">
        <v>0.55741953298263947</v>
      </c>
      <c r="AH138" s="281">
        <v>0.80114488080393753</v>
      </c>
      <c r="AI138" s="281">
        <v>0.39852662297983521</v>
      </c>
      <c r="AJ138" s="281">
        <v>0.52879654209677585</v>
      </c>
      <c r="AK138" s="281">
        <v>0.17703399997109256</v>
      </c>
      <c r="AL138" s="281">
        <v>1.2857992759794976</v>
      </c>
      <c r="AM138" s="281">
        <v>0.36739149515747788</v>
      </c>
      <c r="AN138" s="281">
        <v>0.1404210465052364</v>
      </c>
      <c r="AO138" s="281">
        <v>2.6448782159682095E-4</v>
      </c>
      <c r="AP138" s="281">
        <v>3.377884998848528E-3</v>
      </c>
      <c r="AQ138" s="281">
        <v>0.6685119647571176</v>
      </c>
      <c r="AR138" s="281">
        <v>0.49908941898141757</v>
      </c>
      <c r="AS138" s="281">
        <v>1.0610178858328621</v>
      </c>
      <c r="AT138" s="281">
        <v>1.2353613233657923</v>
      </c>
      <c r="AU138" s="281">
        <v>0.79450942441704131</v>
      </c>
      <c r="AV138" s="281">
        <f ca="1">Calc!AY37</f>
        <v>0.79450942441704131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1.65</v>
      </c>
      <c r="G139" s="271">
        <v>1.53</v>
      </c>
      <c r="H139" s="271">
        <v>1.24</v>
      </c>
      <c r="I139" s="271">
        <v>1.33</v>
      </c>
      <c r="J139" s="271">
        <v>1.33</v>
      </c>
      <c r="K139" s="271">
        <v>1.36</v>
      </c>
      <c r="L139" s="271">
        <v>1.49</v>
      </c>
      <c r="M139" s="271">
        <v>1.41</v>
      </c>
      <c r="N139" s="271">
        <v>1.45</v>
      </c>
      <c r="O139" s="271">
        <v>1.82</v>
      </c>
      <c r="P139" s="271">
        <v>1.21</v>
      </c>
      <c r="Q139" s="271">
        <v>1.1499999999999999</v>
      </c>
      <c r="R139" s="271">
        <v>1.04</v>
      </c>
      <c r="S139" s="271">
        <v>1.04</v>
      </c>
      <c r="T139" s="271">
        <v>0.94</v>
      </c>
      <c r="U139" s="271">
        <v>1</v>
      </c>
      <c r="V139" s="271">
        <v>0.95</v>
      </c>
      <c r="W139" s="271">
        <v>0.96</v>
      </c>
      <c r="X139" s="271">
        <v>1.01</v>
      </c>
      <c r="Y139" s="271">
        <v>1.03</v>
      </c>
      <c r="Z139" s="273">
        <f ca="1">[1]ExtEntry!$G38</f>
        <v>1.03</v>
      </c>
      <c r="AA139" s="298"/>
      <c r="AB139" s="281">
        <v>1.3605273774159241</v>
      </c>
      <c r="AC139" s="281">
        <v>0.96649123126513814</v>
      </c>
      <c r="AD139" s="281">
        <v>0.33368326562904133</v>
      </c>
      <c r="AE139" s="281">
        <v>1.2275391492258962</v>
      </c>
      <c r="AF139" s="281">
        <v>1.2275391492258962</v>
      </c>
      <c r="AG139" s="281">
        <v>1.4687787936777943</v>
      </c>
      <c r="AH139" s="281">
        <v>0.48027223643841854</v>
      </c>
      <c r="AI139" s="281">
        <v>0.26700325130184238</v>
      </c>
      <c r="AJ139" s="281">
        <v>1.4400327466230045</v>
      </c>
      <c r="AK139" s="281">
        <v>9.0674063800277391</v>
      </c>
      <c r="AL139" s="281">
        <v>1.3030025421979026</v>
      </c>
      <c r="AM139" s="281">
        <v>0.40120831285043568</v>
      </c>
      <c r="AN139" s="281">
        <v>0.15661185170769679</v>
      </c>
      <c r="AO139" s="281">
        <v>2.7106298391692961E-3</v>
      </c>
      <c r="AP139" s="281">
        <v>1.3669979358331168E-5</v>
      </c>
      <c r="AQ139" s="281">
        <v>0.2622159327395322</v>
      </c>
      <c r="AR139" s="281">
        <v>0.2493131737400783</v>
      </c>
      <c r="AS139" s="281">
        <v>0.29390755639690802</v>
      </c>
      <c r="AT139" s="281">
        <v>0.37489755148038112</v>
      </c>
      <c r="AU139" s="281">
        <v>0.1061239405557194</v>
      </c>
      <c r="AV139" s="285">
        <f ca="1">Calc!AY38</f>
        <v>0.1061239405557194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35.82</v>
      </c>
      <c r="G140" s="271">
        <v>38.299999999999997</v>
      </c>
      <c r="H140" s="271">
        <v>40</v>
      </c>
      <c r="I140" s="271">
        <v>39.36</v>
      </c>
      <c r="J140" s="271">
        <v>39.36</v>
      </c>
      <c r="K140" s="271">
        <v>38.9</v>
      </c>
      <c r="L140" s="271">
        <v>42.09</v>
      </c>
      <c r="M140" s="271">
        <v>41.22</v>
      </c>
      <c r="N140" s="271">
        <v>41.4</v>
      </c>
      <c r="O140" s="271">
        <v>39.729999999999997</v>
      </c>
      <c r="P140" s="271">
        <v>39</v>
      </c>
      <c r="Q140" s="271">
        <v>38.700000000000003</v>
      </c>
      <c r="R140" s="271">
        <v>38.380000000000003</v>
      </c>
      <c r="S140" s="271">
        <v>38.380000000000003</v>
      </c>
      <c r="T140" s="271">
        <v>40.548000000000002</v>
      </c>
      <c r="U140" s="271">
        <v>41.5</v>
      </c>
      <c r="V140" s="271">
        <v>40.65</v>
      </c>
      <c r="W140" s="271">
        <v>36.06</v>
      </c>
      <c r="X140" s="271">
        <v>36.74</v>
      </c>
      <c r="Y140" s="271">
        <v>37.78</v>
      </c>
      <c r="Z140" s="273">
        <f ca="1">[1]ExtEntry!$G39</f>
        <v>37.78</v>
      </c>
      <c r="AA140" s="298"/>
      <c r="AB140" s="281">
        <v>0.87589610110073202</v>
      </c>
      <c r="AC140" s="281">
        <v>0.38368110810208167</v>
      </c>
      <c r="AD140" s="281">
        <v>0.53863615992624525</v>
      </c>
      <c r="AE140" s="281">
        <v>0.89472885454216811</v>
      </c>
      <c r="AF140" s="281">
        <v>0.89472885454216811</v>
      </c>
      <c r="AG140" s="281">
        <v>1.7769756232422584</v>
      </c>
      <c r="AH140" s="281">
        <v>1.2424891950809018</v>
      </c>
      <c r="AI140" s="281">
        <v>1.0372421530725351</v>
      </c>
      <c r="AJ140" s="281">
        <v>0.86565749772589651</v>
      </c>
      <c r="AK140" s="281">
        <v>0.30041368820124376</v>
      </c>
      <c r="AL140" s="281">
        <v>1.0518469081626549</v>
      </c>
      <c r="AM140" s="281">
        <v>0.18501904298101923</v>
      </c>
      <c r="AN140" s="281">
        <v>0.11517397458706639</v>
      </c>
      <c r="AO140" s="281">
        <v>5.9028462343973019E-6</v>
      </c>
      <c r="AP140" s="281">
        <v>1.0359182553957853E-3</v>
      </c>
      <c r="AQ140" s="281">
        <v>0.94080656797552664</v>
      </c>
      <c r="AR140" s="281">
        <v>1.0562375209387513</v>
      </c>
      <c r="AS140" s="281">
        <v>0.67592517947760555</v>
      </c>
      <c r="AT140" s="281">
        <v>0.63762834405376745</v>
      </c>
      <c r="AU140" s="281">
        <v>0.44301253665774809</v>
      </c>
      <c r="AV140" s="281">
        <f ca="1">Calc!AY39</f>
        <v>0.44301253665774809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34.65</v>
      </c>
      <c r="G141" s="271">
        <v>34.68</v>
      </c>
      <c r="H141" s="271">
        <v>35.08</v>
      </c>
      <c r="I141" s="271">
        <v>35.35</v>
      </c>
      <c r="J141" s="271">
        <v>35.35</v>
      </c>
      <c r="K141" s="271">
        <v>35.340000000000003</v>
      </c>
      <c r="L141" s="271">
        <v>35.18</v>
      </c>
      <c r="M141" s="271">
        <v>35.35</v>
      </c>
      <c r="N141" s="271">
        <v>35</v>
      </c>
      <c r="O141" s="271">
        <v>35</v>
      </c>
      <c r="P141" s="271">
        <v>34.31</v>
      </c>
      <c r="Q141" s="271">
        <v>34.4</v>
      </c>
      <c r="R141" s="271">
        <v>33.880000000000003</v>
      </c>
      <c r="S141" s="271">
        <v>34.270000000000003</v>
      </c>
      <c r="T141" s="271">
        <v>34.68</v>
      </c>
      <c r="U141" s="271">
        <v>35.53</v>
      </c>
      <c r="V141" s="271">
        <v>35.82</v>
      </c>
      <c r="W141" s="271">
        <v>35.67</v>
      </c>
      <c r="X141" s="271">
        <v>35.9</v>
      </c>
      <c r="Y141" s="271">
        <v>35.950000000000003</v>
      </c>
      <c r="Z141" s="273">
        <f ca="1">[1]ExtEntry!$G40</f>
        <v>35.950000000000003</v>
      </c>
      <c r="AA141" s="298"/>
      <c r="AB141" s="281">
        <v>4.0990582521396632</v>
      </c>
      <c r="AC141" s="281">
        <v>0.76333703264895991</v>
      </c>
      <c r="AD141" s="281">
        <v>0.50966455468679783</v>
      </c>
      <c r="AE141" s="281">
        <v>0.66395591803720677</v>
      </c>
      <c r="AF141" s="281">
        <v>0.66395591803720677</v>
      </c>
      <c r="AG141" s="281">
        <v>0.6012889611625668</v>
      </c>
      <c r="AH141" s="281">
        <v>0.87147175763151841</v>
      </c>
      <c r="AI141" s="281">
        <v>0.83453761815573002</v>
      </c>
      <c r="AJ141" s="281">
        <v>0.49330149716055754</v>
      </c>
      <c r="AK141" s="281">
        <v>0.45788029449395073</v>
      </c>
      <c r="AL141" s="281">
        <v>0.37641090472948879</v>
      </c>
      <c r="AM141" s="281">
        <v>0.55921342669130281</v>
      </c>
      <c r="AN141" s="281">
        <v>0.47556275594388259</v>
      </c>
      <c r="AO141" s="281">
        <v>0.45399060634834509</v>
      </c>
      <c r="AP141" s="281">
        <v>0.96372079134142896</v>
      </c>
      <c r="AQ141" s="281">
        <v>1.5847480188693932</v>
      </c>
      <c r="AR141" s="281">
        <v>0.87788244499954859</v>
      </c>
      <c r="AS141" s="281">
        <v>0.92589668849594475</v>
      </c>
      <c r="AT141" s="281">
        <v>1.0270613714052867</v>
      </c>
      <c r="AU141" s="281">
        <v>0.95258558395808868</v>
      </c>
      <c r="AV141" s="285">
        <f ca="1">Calc!AY40</f>
        <v>0.95258558395808868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239.25</v>
      </c>
      <c r="G142" s="271">
        <v>239.6</v>
      </c>
      <c r="H142" s="271">
        <v>237.7</v>
      </c>
      <c r="I142" s="271">
        <v>237.35</v>
      </c>
      <c r="J142" s="271">
        <v>237.35</v>
      </c>
      <c r="K142" s="271">
        <v>233.4</v>
      </c>
      <c r="L142" s="271">
        <v>231.7</v>
      </c>
      <c r="M142" s="271">
        <v>231.85</v>
      </c>
      <c r="N142" s="271">
        <v>231</v>
      </c>
      <c r="O142" s="271">
        <v>236.75</v>
      </c>
      <c r="P142" s="271">
        <v>232.5</v>
      </c>
      <c r="Q142" s="271">
        <v>232.4</v>
      </c>
      <c r="R142" s="271">
        <v>230.15</v>
      </c>
      <c r="S142" s="271">
        <v>231.9</v>
      </c>
      <c r="T142" s="271">
        <v>233.4</v>
      </c>
      <c r="U142" s="271">
        <v>229.45</v>
      </c>
      <c r="V142" s="271">
        <v>229.7</v>
      </c>
      <c r="W142" s="271">
        <v>235</v>
      </c>
      <c r="X142" s="271">
        <v>222</v>
      </c>
      <c r="Y142" s="271">
        <v>219.9</v>
      </c>
      <c r="Z142" s="273">
        <f ca="1">[1]ExtEntry!$G41</f>
        <v>219.9</v>
      </c>
      <c r="AA142" s="298"/>
      <c r="AB142" s="281">
        <v>0.78072285722429668</v>
      </c>
      <c r="AC142" s="281">
        <v>0.5099898110719685</v>
      </c>
      <c r="AD142" s="281">
        <v>0.36779622201557272</v>
      </c>
      <c r="AE142" s="281">
        <v>0.83068606087523766</v>
      </c>
      <c r="AF142" s="281">
        <v>0.83068606087523766</v>
      </c>
      <c r="AG142" s="281">
        <v>0.90107510536861746</v>
      </c>
      <c r="AH142" s="281">
        <v>0.56226513779923559</v>
      </c>
      <c r="AI142" s="281">
        <v>1.4806987192382486</v>
      </c>
      <c r="AJ142" s="281">
        <v>0.7830856731461483</v>
      </c>
      <c r="AK142" s="281">
        <v>0.32247948164146867</v>
      </c>
      <c r="AL142" s="281">
        <v>0.24495327255765234</v>
      </c>
      <c r="AM142" s="281">
        <v>0.59179528306518925</v>
      </c>
      <c r="AN142" s="281">
        <v>0.31933631305923271</v>
      </c>
      <c r="AO142" s="281">
        <v>0.18260460384077323</v>
      </c>
      <c r="AP142" s="281">
        <v>0.44783490863982517</v>
      </c>
      <c r="AQ142" s="281">
        <v>1.1329651039080786</v>
      </c>
      <c r="AR142" s="281">
        <v>0.90354393869574867</v>
      </c>
      <c r="AS142" s="281">
        <v>2.2177570889273652</v>
      </c>
      <c r="AT142" s="281">
        <v>1.6697909619807874</v>
      </c>
      <c r="AU142" s="281">
        <v>1.0463940754867882</v>
      </c>
      <c r="AV142" s="281">
        <f ca="1">Calc!AY41</f>
        <v>1.0463940754867882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16.170000000000002</v>
      </c>
      <c r="G143" s="271">
        <v>15.31</v>
      </c>
      <c r="H143" s="271">
        <v>15.13</v>
      </c>
      <c r="I143" s="271">
        <v>16.29</v>
      </c>
      <c r="J143" s="271">
        <v>16.29</v>
      </c>
      <c r="K143" s="271">
        <v>15.69</v>
      </c>
      <c r="L143" s="271">
        <v>15.1701</v>
      </c>
      <c r="M143" s="271">
        <v>15.5625</v>
      </c>
      <c r="N143" s="271">
        <v>15.4</v>
      </c>
      <c r="O143" s="271">
        <v>16.23</v>
      </c>
      <c r="P143" s="271">
        <v>15.35</v>
      </c>
      <c r="Q143" s="271">
        <v>14.61</v>
      </c>
      <c r="R143" s="271">
        <v>14.430099999999999</v>
      </c>
      <c r="S143" s="271">
        <v>14.430099999999999</v>
      </c>
      <c r="T143" s="271">
        <v>14.464</v>
      </c>
      <c r="U143" s="271">
        <v>14.945</v>
      </c>
      <c r="V143" s="271">
        <v>14.49</v>
      </c>
      <c r="W143" s="271">
        <v>14.5</v>
      </c>
      <c r="X143" s="271">
        <v>14.68</v>
      </c>
      <c r="Y143" s="271">
        <v>14.91</v>
      </c>
      <c r="Z143" s="273">
        <f ca="1">[1]ExtEntry!$G42</f>
        <v>14.91</v>
      </c>
      <c r="AA143" s="298"/>
      <c r="AB143" s="281">
        <v>1.9567443987197074E-2</v>
      </c>
      <c r="AC143" s="281">
        <v>7.2875801655904304E-3</v>
      </c>
      <c r="AD143" s="281">
        <v>6.7225264089375587E-3</v>
      </c>
      <c r="AE143" s="281">
        <v>0.11318953597699243</v>
      </c>
      <c r="AF143" s="281">
        <v>0.11318953597699243</v>
      </c>
      <c r="AG143" s="281">
        <v>2.6218417663346483E-2</v>
      </c>
      <c r="AH143" s="281">
        <v>4.2950804874379418E-2</v>
      </c>
      <c r="AI143" s="281">
        <v>4.3996539792387546E-2</v>
      </c>
      <c r="AJ143" s="281">
        <v>2.0348566387428126E-2</v>
      </c>
      <c r="AK143" s="281">
        <v>5.4831348982219913E-3</v>
      </c>
      <c r="AL143" s="281">
        <v>2.8542034521828911E-2</v>
      </c>
      <c r="AM143" s="281">
        <v>1.7734439350202632E-2</v>
      </c>
      <c r="AN143" s="281">
        <v>1.1013066708987992E-2</v>
      </c>
      <c r="AO143" s="281">
        <v>5.2041809680942956E-2</v>
      </c>
      <c r="AP143" s="281">
        <v>4.9998897083152576E-3</v>
      </c>
      <c r="AQ143" s="281">
        <v>6.582448984912366E-2</v>
      </c>
      <c r="AR143" s="281">
        <v>2.7929429792608408E-2</v>
      </c>
      <c r="AS143" s="281">
        <v>2.5771308697181999E-2</v>
      </c>
      <c r="AT143" s="281">
        <v>5.1649155029756276E-2</v>
      </c>
      <c r="AU143" s="281">
        <v>2.7535437294080589E-2</v>
      </c>
      <c r="AV143" s="285">
        <f ca="1">Calc!AY42</f>
        <v>2.7535437294080589E-2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9.67</v>
      </c>
      <c r="G144" s="271">
        <v>9.24</v>
      </c>
      <c r="H144" s="271">
        <v>9.42</v>
      </c>
      <c r="I144" s="271">
        <v>9.8800000000000008</v>
      </c>
      <c r="J144" s="271">
        <v>9.8800000000000008</v>
      </c>
      <c r="K144" s="271">
        <v>10.815</v>
      </c>
      <c r="L144" s="271">
        <v>11.01</v>
      </c>
      <c r="M144" s="271">
        <v>10.9</v>
      </c>
      <c r="N144" s="271">
        <v>10.83</v>
      </c>
      <c r="O144" s="271">
        <v>11.07</v>
      </c>
      <c r="P144" s="271">
        <v>11.2</v>
      </c>
      <c r="Q144" s="271">
        <v>10.41</v>
      </c>
      <c r="R144" s="271">
        <v>10.38</v>
      </c>
      <c r="S144" s="271">
        <v>10.38</v>
      </c>
      <c r="T144" s="271">
        <v>10.15</v>
      </c>
      <c r="U144" s="271">
        <v>10.24</v>
      </c>
      <c r="V144" s="271">
        <v>10.210000000000001</v>
      </c>
      <c r="W144" s="271">
        <v>10.119999999999999</v>
      </c>
      <c r="X144" s="271">
        <v>9.76</v>
      </c>
      <c r="Y144" s="271">
        <v>9.83</v>
      </c>
      <c r="Z144" s="273">
        <f ca="1">[1]ExtEntry!$G43</f>
        <v>9.83</v>
      </c>
      <c r="AA144" s="298"/>
      <c r="AB144" s="281">
        <v>1.7630685737602032</v>
      </c>
      <c r="AC144" s="281">
        <v>0.34875926651048267</v>
      </c>
      <c r="AD144" s="281">
        <v>0.16980941865488935</v>
      </c>
      <c r="AE144" s="281">
        <v>7.5328394874851385</v>
      </c>
      <c r="AF144" s="281">
        <v>7.5328394874851385</v>
      </c>
      <c r="AG144" s="281">
        <v>2.6584641161156504</v>
      </c>
      <c r="AH144" s="281">
        <v>0.93508451369906398</v>
      </c>
      <c r="AI144" s="281">
        <v>0.77148139338972821</v>
      </c>
      <c r="AJ144" s="281">
        <v>1.311393188487183</v>
      </c>
      <c r="AK144" s="281">
        <v>0.22662875020519307</v>
      </c>
      <c r="AL144" s="281">
        <v>0.89038593473209138</v>
      </c>
      <c r="AM144" s="281">
        <v>0.31021292519206695</v>
      </c>
      <c r="AN144" s="281">
        <v>5.2280631475445656E-2</v>
      </c>
      <c r="AO144" s="281">
        <v>2.1431562847102096E-3</v>
      </c>
      <c r="AP144" s="281">
        <v>2.6069827651965557E-3</v>
      </c>
      <c r="AQ144" s="281">
        <v>0.48830819637101802</v>
      </c>
      <c r="AR144" s="281">
        <v>0.74101596670583969</v>
      </c>
      <c r="AS144" s="281">
        <v>1.1555361869211567</v>
      </c>
      <c r="AT144" s="281">
        <v>0.43833000781281917</v>
      </c>
      <c r="AU144" s="281">
        <v>0.51827453699690851</v>
      </c>
      <c r="AV144" s="281">
        <f ca="1">Calc!AY43</f>
        <v>0.51827453699690851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335.73</v>
      </c>
      <c r="G145" s="271">
        <v>337.91</v>
      </c>
      <c r="H145" s="271">
        <v>329.89</v>
      </c>
      <c r="I145" s="271">
        <v>335.72</v>
      </c>
      <c r="J145" s="271">
        <v>335.72</v>
      </c>
      <c r="K145" s="271">
        <v>329.22</v>
      </c>
      <c r="L145" s="271">
        <v>338.9</v>
      </c>
      <c r="M145" s="271">
        <v>344.93</v>
      </c>
      <c r="N145" s="271">
        <v>351.94</v>
      </c>
      <c r="O145" s="271">
        <v>350.92</v>
      </c>
      <c r="P145" s="271">
        <v>347.23</v>
      </c>
      <c r="Q145" s="271">
        <v>328.25</v>
      </c>
      <c r="R145" s="271">
        <v>335</v>
      </c>
      <c r="S145" s="271">
        <v>335.2</v>
      </c>
      <c r="T145" s="271">
        <v>336.15</v>
      </c>
      <c r="U145" s="271">
        <v>354.64</v>
      </c>
      <c r="V145" s="271">
        <v>348.44</v>
      </c>
      <c r="W145" s="271">
        <v>350.55</v>
      </c>
      <c r="X145" s="271">
        <v>350</v>
      </c>
      <c r="Y145" s="271">
        <v>370.94</v>
      </c>
      <c r="Z145" s="273">
        <f ca="1">[1]ExtEntry!$G44</f>
        <v>370.94</v>
      </c>
      <c r="AA145" s="298"/>
      <c r="AB145" s="281">
        <v>0.49999370198102205</v>
      </c>
      <c r="AC145" s="281">
        <v>0.30147803038804016</v>
      </c>
      <c r="AD145" s="281">
        <v>0.21638315919577167</v>
      </c>
      <c r="AE145" s="281">
        <v>0.76111692611176185</v>
      </c>
      <c r="AF145" s="281">
        <v>0.76111692611176185</v>
      </c>
      <c r="AG145" s="281">
        <v>0.88403540596762187</v>
      </c>
      <c r="AH145" s="281">
        <v>1.0056229380432118</v>
      </c>
      <c r="AI145" s="281">
        <v>0.88053641169041941</v>
      </c>
      <c r="AJ145" s="281">
        <v>0.75208057444416843</v>
      </c>
      <c r="AK145" s="281">
        <v>0.32547684271386296</v>
      </c>
      <c r="AL145" s="281">
        <v>0.9991306160313761</v>
      </c>
      <c r="AM145" s="281">
        <v>0.36897335033493123</v>
      </c>
      <c r="AN145" s="281">
        <v>0.24539054309634209</v>
      </c>
      <c r="AO145" s="281">
        <v>4.1444529686984494E-3</v>
      </c>
      <c r="AP145" s="281">
        <v>3.9287558171379536E-2</v>
      </c>
      <c r="AQ145" s="281">
        <v>0.97617822324539094</v>
      </c>
      <c r="AR145" s="281">
        <v>0.7031178048124791</v>
      </c>
      <c r="AS145" s="281">
        <v>0.9554427290289188</v>
      </c>
      <c r="AT145" s="281">
        <v>1.26028979718001</v>
      </c>
      <c r="AU145" s="281">
        <v>2.1738133239969519</v>
      </c>
      <c r="AV145" s="285">
        <f ca="1">Calc!AY44</f>
        <v>2.1738133239969519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238.24</v>
      </c>
      <c r="G146" s="271">
        <v>240.33</v>
      </c>
      <c r="H146" s="271">
        <v>240</v>
      </c>
      <c r="I146" s="271">
        <v>240.29</v>
      </c>
      <c r="J146" s="271">
        <v>240.29</v>
      </c>
      <c r="K146" s="271">
        <v>228.14</v>
      </c>
      <c r="L146" s="271">
        <v>234.3</v>
      </c>
      <c r="M146" s="271">
        <v>236.37</v>
      </c>
      <c r="N146" s="271">
        <v>236.87</v>
      </c>
      <c r="O146" s="271">
        <v>235.91</v>
      </c>
      <c r="P146" s="271">
        <v>235.84</v>
      </c>
      <c r="Q146" s="271">
        <v>226.52</v>
      </c>
      <c r="R146" s="271">
        <v>231.18</v>
      </c>
      <c r="S146" s="271">
        <v>231.51499999999999</v>
      </c>
      <c r="T146" s="271">
        <v>231.35</v>
      </c>
      <c r="U146" s="271">
        <v>241.99</v>
      </c>
      <c r="V146" s="271">
        <v>246.93</v>
      </c>
      <c r="W146" s="271">
        <v>258.87</v>
      </c>
      <c r="X146" s="271">
        <v>260.52999999999997</v>
      </c>
      <c r="Y146" s="271">
        <v>260.85000000000002</v>
      </c>
      <c r="Z146" s="273">
        <f ca="1">[1]ExtEntry!$G45</f>
        <v>260.85000000000002</v>
      </c>
      <c r="AA146" s="298"/>
      <c r="AB146" s="281">
        <v>0.36199525005073119</v>
      </c>
      <c r="AC146" s="281">
        <v>0.26276357524608895</v>
      </c>
      <c r="AD146" s="281">
        <v>0.19610125716776336</v>
      </c>
      <c r="AE146" s="281">
        <v>0.88661247969766244</v>
      </c>
      <c r="AF146" s="281">
        <v>0.88661247969766244</v>
      </c>
      <c r="AG146" s="281">
        <v>1.483723948014126</v>
      </c>
      <c r="AH146" s="281">
        <v>0.72089485195879033</v>
      </c>
      <c r="AI146" s="281">
        <v>0.93636200834144134</v>
      </c>
      <c r="AJ146" s="281">
        <v>0.90933893438653368</v>
      </c>
      <c r="AK146" s="281">
        <v>0.39665066531265625</v>
      </c>
      <c r="AL146" s="281">
        <v>1.5149519939355287</v>
      </c>
      <c r="AM146" s="281">
        <v>0.66135489650648893</v>
      </c>
      <c r="AN146" s="281">
        <v>0.14035238414779119</v>
      </c>
      <c r="AO146" s="281">
        <v>2.0358876209015898E-3</v>
      </c>
      <c r="AP146" s="281">
        <v>2.054949324405347E-2</v>
      </c>
      <c r="AQ146" s="281">
        <v>1.2417558129127766</v>
      </c>
      <c r="AR146" s="281">
        <v>1.2761560847933815</v>
      </c>
      <c r="AS146" s="281">
        <v>1.7562856380789735</v>
      </c>
      <c r="AT146" s="281">
        <v>0.81188411186631926</v>
      </c>
      <c r="AU146" s="281">
        <v>0.77041188314923847</v>
      </c>
      <c r="AV146" s="281">
        <f ca="1">Calc!AY45</f>
        <v>0.77041188314923847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37.65</v>
      </c>
      <c r="G147" s="271">
        <v>37.549999999999997</v>
      </c>
      <c r="H147" s="271">
        <v>37.6</v>
      </c>
      <c r="I147" s="271">
        <v>37.799999999999997</v>
      </c>
      <c r="J147" s="271">
        <v>37.799999999999997</v>
      </c>
      <c r="K147" s="271">
        <v>37.549999999999997</v>
      </c>
      <c r="L147" s="271">
        <v>37.35</v>
      </c>
      <c r="M147" s="271">
        <v>37.65</v>
      </c>
      <c r="N147" s="271">
        <v>37.4</v>
      </c>
      <c r="O147" s="271">
        <v>37.700000000000003</v>
      </c>
      <c r="P147" s="271">
        <v>36.950000000000003</v>
      </c>
      <c r="Q147" s="271">
        <v>36.15</v>
      </c>
      <c r="R147" s="271">
        <v>35.549999999999997</v>
      </c>
      <c r="S147" s="271">
        <v>36.049999999999997</v>
      </c>
      <c r="T147" s="271">
        <v>36.25</v>
      </c>
      <c r="U147" s="271">
        <v>35.5</v>
      </c>
      <c r="V147" s="271">
        <v>35.450000000000003</v>
      </c>
      <c r="W147" s="271">
        <v>35.700000000000003</v>
      </c>
      <c r="X147" s="271">
        <v>37.049999999999997</v>
      </c>
      <c r="Y147" s="271">
        <v>35.5</v>
      </c>
      <c r="Z147" s="273">
        <f ca="1">[1]ExtEntry!$G46</f>
        <v>35.5</v>
      </c>
      <c r="AA147" s="298"/>
      <c r="AB147" s="281">
        <v>1.5817223198594025E-2</v>
      </c>
      <c r="AC147" s="281">
        <v>1.7064846416382253E-3</v>
      </c>
      <c r="AD147" s="281">
        <v>3.9447731755424062E-4</v>
      </c>
      <c r="AE147" s="281">
        <v>8.9546351084812625E-2</v>
      </c>
      <c r="AF147" s="281">
        <v>8.9546351084812625E-2</v>
      </c>
      <c r="AG147" s="281">
        <v>5.0000000000000001E-3</v>
      </c>
      <c r="AH147" s="281">
        <v>2.8212290502793298E-2</v>
      </c>
      <c r="AI147" s="281">
        <v>3.0726256983240222E-2</v>
      </c>
      <c r="AJ147" s="281">
        <v>1.1212121212121211E-2</v>
      </c>
      <c r="AK147" s="281">
        <v>2.2699386503067485E-2</v>
      </c>
      <c r="AL147" s="281">
        <v>5.5555555555555558E-3</v>
      </c>
      <c r="AM147" s="281">
        <v>9.5238095238095247E-3</v>
      </c>
      <c r="AN147" s="281">
        <v>8.4920634920634924E-2</v>
      </c>
      <c r="AO147" s="281">
        <v>2.6717557251908396E-2</v>
      </c>
      <c r="AP147" s="281">
        <v>4.9615205435798067E-3</v>
      </c>
      <c r="AQ147" s="281">
        <v>5.2317880794701989E-2</v>
      </c>
      <c r="AR147" s="281">
        <v>1.8543046357615896E-2</v>
      </c>
      <c r="AS147" s="281">
        <v>3.793103448275862E-2</v>
      </c>
      <c r="AT147" s="281">
        <v>3.8571428571428569E-2</v>
      </c>
      <c r="AU147" s="281">
        <v>0.13715846994535519</v>
      </c>
      <c r="AV147" s="285">
        <f ca="1">Calc!AY46</f>
        <v>0.13715846994535519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6.62</v>
      </c>
      <c r="G148" s="271">
        <v>6.44</v>
      </c>
      <c r="H148" s="271">
        <v>6.36</v>
      </c>
      <c r="I148" s="271">
        <v>6.25</v>
      </c>
      <c r="J148" s="271">
        <v>6.25</v>
      </c>
      <c r="K148" s="271">
        <v>6.23</v>
      </c>
      <c r="L148" s="271">
        <v>6.45</v>
      </c>
      <c r="M148" s="271">
        <v>6.27</v>
      </c>
      <c r="N148" s="271">
        <v>6.5</v>
      </c>
      <c r="O148" s="271">
        <v>6.66</v>
      </c>
      <c r="P148" s="271">
        <v>6.59</v>
      </c>
      <c r="Q148" s="271">
        <v>6.25</v>
      </c>
      <c r="R148" s="271">
        <v>5.74</v>
      </c>
      <c r="S148" s="271">
        <v>5.74</v>
      </c>
      <c r="T148" s="271">
        <v>6.07</v>
      </c>
      <c r="U148" s="271">
        <v>6.48</v>
      </c>
      <c r="V148" s="271">
        <v>7.25</v>
      </c>
      <c r="W148" s="271">
        <v>7.04</v>
      </c>
      <c r="X148" s="271">
        <v>6.87</v>
      </c>
      <c r="Y148" s="271">
        <v>7.12</v>
      </c>
      <c r="Z148" s="273">
        <f ca="1">[1]ExtEntry!$G47</f>
        <v>7.12</v>
      </c>
      <c r="AA148" s="298"/>
      <c r="AB148" s="281">
        <v>0.24859047201843709</v>
      </c>
      <c r="AC148" s="281">
        <v>0.21294724779038135</v>
      </c>
      <c r="AD148" s="281">
        <v>6.7526139238934468E-2</v>
      </c>
      <c r="AE148" s="281">
        <v>0.59467158654273133</v>
      </c>
      <c r="AF148" s="281">
        <v>0.59467158654273133</v>
      </c>
      <c r="AG148" s="281">
        <v>0.9228835816336356</v>
      </c>
      <c r="AH148" s="281">
        <v>1.5114130404294825</v>
      </c>
      <c r="AI148" s="281">
        <v>3.8488662226069539</v>
      </c>
      <c r="AJ148" s="281">
        <v>1.1275072825634624</v>
      </c>
      <c r="AK148" s="281">
        <v>0.15046236000081423</v>
      </c>
      <c r="AL148" s="281">
        <v>0.49179936632016313</v>
      </c>
      <c r="AM148" s="281">
        <v>0.23204413987781727</v>
      </c>
      <c r="AN148" s="281">
        <v>0.18448972262147348</v>
      </c>
      <c r="AO148" s="281">
        <v>3.7697543696593718E-6</v>
      </c>
      <c r="AP148" s="281">
        <v>4.14344541739909E-5</v>
      </c>
      <c r="AQ148" s="281">
        <v>3.0057957332295162</v>
      </c>
      <c r="AR148" s="281">
        <v>0.9245439731231655</v>
      </c>
      <c r="AS148" s="281">
        <v>1.3015463035461803</v>
      </c>
      <c r="AT148" s="281">
        <v>0.68172163189591917</v>
      </c>
      <c r="AU148" s="281">
        <v>0.52775367168646414</v>
      </c>
      <c r="AV148" s="281">
        <f ca="1">Calc!AY47</f>
        <v>0.52775367168646414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307.45999999999998</v>
      </c>
      <c r="G149" s="271">
        <v>311.5</v>
      </c>
      <c r="H149" s="271">
        <v>302.27999999999997</v>
      </c>
      <c r="I149" s="271">
        <v>302.41500000000002</v>
      </c>
      <c r="J149" s="271">
        <v>302.41500000000002</v>
      </c>
      <c r="K149" s="271">
        <v>295.45999999999998</v>
      </c>
      <c r="L149" s="271">
        <v>292.81</v>
      </c>
      <c r="M149" s="271">
        <v>294.35000000000002</v>
      </c>
      <c r="N149" s="271">
        <v>297.52999999999997</v>
      </c>
      <c r="O149" s="271">
        <v>302.5</v>
      </c>
      <c r="P149" s="271">
        <v>307.01</v>
      </c>
      <c r="Q149" s="271">
        <v>288.33999999999997</v>
      </c>
      <c r="R149" s="271">
        <v>302.29000000000002</v>
      </c>
      <c r="S149" s="271">
        <v>302.29000000000002</v>
      </c>
      <c r="T149" s="271">
        <v>305.06</v>
      </c>
      <c r="U149" s="271">
        <v>342.75</v>
      </c>
      <c r="V149" s="271">
        <v>349.54500000000002</v>
      </c>
      <c r="W149" s="271">
        <v>351.52</v>
      </c>
      <c r="X149" s="271">
        <v>371.23</v>
      </c>
      <c r="Y149" s="271">
        <v>362.91</v>
      </c>
      <c r="Z149" s="273">
        <f ca="1">[1]ExtEntry!$G48</f>
        <v>362.91</v>
      </c>
      <c r="AA149" s="298"/>
      <c r="AB149" s="281">
        <v>0.45623699324898098</v>
      </c>
      <c r="AC149" s="281">
        <v>0.38444650818707476</v>
      </c>
      <c r="AD149" s="281">
        <v>0.26699455224765722</v>
      </c>
      <c r="AE149" s="281">
        <v>0.86142992026918197</v>
      </c>
      <c r="AF149" s="281">
        <v>0.86142992026918197</v>
      </c>
      <c r="AG149" s="281">
        <v>1.3698541169824709</v>
      </c>
      <c r="AH149" s="281">
        <v>0.86306173663043118</v>
      </c>
      <c r="AI149" s="281">
        <v>1.47428605440891</v>
      </c>
      <c r="AJ149" s="281">
        <v>0.77353045331657444</v>
      </c>
      <c r="AK149" s="281">
        <v>0.38646560227895016</v>
      </c>
      <c r="AL149" s="281">
        <v>1.2334091116564987</v>
      </c>
      <c r="AM149" s="281">
        <v>0.51030734978988679</v>
      </c>
      <c r="AN149" s="281">
        <v>0.21608758356591018</v>
      </c>
      <c r="AO149" s="281">
        <v>5.7671037210866262E-3</v>
      </c>
      <c r="AP149" s="281">
        <v>0.26598162312778917</v>
      </c>
      <c r="AQ149" s="281">
        <v>2.0408035705902652</v>
      </c>
      <c r="AR149" s="281">
        <v>1.2135959144342245</v>
      </c>
      <c r="AS149" s="281">
        <v>2.30250181066878</v>
      </c>
      <c r="AT149" s="281">
        <v>1.0352847260087967</v>
      </c>
      <c r="AU149" s="281">
        <v>1.2976772377132826</v>
      </c>
      <c r="AV149" s="285">
        <f ca="1">Calc!AY48</f>
        <v>1.2976772377132826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30.38</v>
      </c>
      <c r="G150" s="271">
        <v>30.73</v>
      </c>
      <c r="H150" s="271">
        <v>30.33</v>
      </c>
      <c r="I150" s="271">
        <v>30.77</v>
      </c>
      <c r="J150" s="271">
        <v>30.77</v>
      </c>
      <c r="K150" s="271">
        <v>30.87</v>
      </c>
      <c r="L150" s="271">
        <v>31.271999999999998</v>
      </c>
      <c r="M150" s="271">
        <v>30.77</v>
      </c>
      <c r="N150" s="271">
        <v>30.49</v>
      </c>
      <c r="O150" s="271">
        <v>30.77</v>
      </c>
      <c r="P150" s="271">
        <v>30.715</v>
      </c>
      <c r="Q150" s="271">
        <v>29.72</v>
      </c>
      <c r="R150" s="271">
        <v>29.37</v>
      </c>
      <c r="S150" s="271">
        <v>29.37</v>
      </c>
      <c r="T150" s="271">
        <v>29.15</v>
      </c>
      <c r="U150" s="271">
        <v>28.93</v>
      </c>
      <c r="V150" s="271">
        <v>29.157</v>
      </c>
      <c r="W150" s="271">
        <v>29.16</v>
      </c>
      <c r="X150" s="271">
        <v>29.07</v>
      </c>
      <c r="Y150" s="271">
        <v>29.349599999999999</v>
      </c>
      <c r="Z150" s="273">
        <f ca="1">[1]ExtEntry!$G49</f>
        <v>29.349599999999999</v>
      </c>
      <c r="AA150" s="298"/>
      <c r="AB150" s="281">
        <v>1.0379194892159153E-2</v>
      </c>
      <c r="AC150" s="281">
        <v>3.4920103815302811E-3</v>
      </c>
      <c r="AD150" s="281">
        <v>4.3586682461615048E-3</v>
      </c>
      <c r="AE150" s="281">
        <v>2.2271338160933317E-2</v>
      </c>
      <c r="AF150" s="281">
        <v>2.2271338160933317E-2</v>
      </c>
      <c r="AG150" s="281">
        <v>2.2054258767646478E-2</v>
      </c>
      <c r="AH150" s="281">
        <v>2.7707104214439966E-2</v>
      </c>
      <c r="AI150" s="281">
        <v>2.1728521495202262E-2</v>
      </c>
      <c r="AJ150" s="281">
        <v>2.1188398357289528E-2</v>
      </c>
      <c r="AK150" s="281">
        <v>7.3833489044404094E-3</v>
      </c>
      <c r="AL150" s="281">
        <v>2.2074903809729908E-2</v>
      </c>
      <c r="AM150" s="281">
        <v>5.1642556649370659E-3</v>
      </c>
      <c r="AN150" s="281">
        <v>1.3154334746254043E-3</v>
      </c>
      <c r="AO150" s="281">
        <v>2.5984462227859509E-2</v>
      </c>
      <c r="AP150" s="281">
        <v>1.6298548654958563E-2</v>
      </c>
      <c r="AQ150" s="281">
        <v>1.6939831973239547E-2</v>
      </c>
      <c r="AR150" s="281">
        <v>2.8002596933554617E-2</v>
      </c>
      <c r="AS150" s="281">
        <v>1.3925459505528075E-2</v>
      </c>
      <c r="AT150" s="281">
        <v>1.463372453124623E-2</v>
      </c>
      <c r="AU150" s="281">
        <v>1.6135976971641899E-2</v>
      </c>
      <c r="AV150" s="281">
        <f ca="1">Calc!AY49</f>
        <v>1.6135976971641899E-2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60.4</v>
      </c>
      <c r="G151" s="271">
        <v>60.3</v>
      </c>
      <c r="H151" s="271">
        <v>60.2</v>
      </c>
      <c r="I151" s="271">
        <v>60.9</v>
      </c>
      <c r="J151" s="271">
        <v>60.9</v>
      </c>
      <c r="K151" s="271">
        <v>61.4</v>
      </c>
      <c r="L151" s="271">
        <v>61.7</v>
      </c>
      <c r="M151" s="271">
        <v>61.2</v>
      </c>
      <c r="N151" s="271">
        <v>61.1</v>
      </c>
      <c r="O151" s="271">
        <v>61.7</v>
      </c>
      <c r="P151" s="271">
        <v>60.9</v>
      </c>
      <c r="Q151" s="271">
        <v>61.1</v>
      </c>
      <c r="R151" s="271">
        <v>60.4</v>
      </c>
      <c r="S151" s="271">
        <v>60</v>
      </c>
      <c r="T151" s="271">
        <v>61.4</v>
      </c>
      <c r="U151" s="271">
        <v>61.5</v>
      </c>
      <c r="V151" s="271">
        <v>61.9</v>
      </c>
      <c r="W151" s="271">
        <v>62</v>
      </c>
      <c r="X151" s="271">
        <v>61.9</v>
      </c>
      <c r="Y151" s="271">
        <v>61.6</v>
      </c>
      <c r="Z151" s="273">
        <f ca="1">[1]ExtEntry!$G50</f>
        <v>61.6</v>
      </c>
      <c r="AA151" s="298"/>
      <c r="AB151" s="281">
        <v>0.40856502242152465</v>
      </c>
      <c r="AC151" s="281">
        <v>0.29358809951269554</v>
      </c>
      <c r="AD151" s="281">
        <v>0.38379674017257909</v>
      </c>
      <c r="AE151" s="281">
        <v>0.78517098114413553</v>
      </c>
      <c r="AF151" s="281">
        <v>0.78517098114413553</v>
      </c>
      <c r="AG151" s="281">
        <v>1.4487724441187249</v>
      </c>
      <c r="AH151" s="281">
        <v>0.87376502002670231</v>
      </c>
      <c r="AI151" s="281">
        <v>1.1587449933244325</v>
      </c>
      <c r="AJ151" s="281">
        <v>0.85657331136738057</v>
      </c>
      <c r="AK151" s="281">
        <v>0.3168698517298188</v>
      </c>
      <c r="AL151" s="281">
        <v>0.36903346887707228</v>
      </c>
      <c r="AM151" s="281">
        <v>0.31814200813262433</v>
      </c>
      <c r="AN151" s="281">
        <v>0.14499840204538192</v>
      </c>
      <c r="AO151" s="281">
        <v>0.45117909496494585</v>
      </c>
      <c r="AP151" s="281">
        <v>1.352502516123808</v>
      </c>
      <c r="AQ151" s="281">
        <v>1.2539783339559207</v>
      </c>
      <c r="AR151" s="281">
        <v>0.80803344238458741</v>
      </c>
      <c r="AS151" s="281">
        <v>1.2606245239908607</v>
      </c>
      <c r="AT151" s="281">
        <v>0.81879866518353728</v>
      </c>
      <c r="AU151" s="281">
        <v>0.87123338257016247</v>
      </c>
      <c r="AV151" s="285">
        <f ca="1">Calc!AY50</f>
        <v>0.87123338257016247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10.39</v>
      </c>
      <c r="G152" s="271">
        <v>10.73</v>
      </c>
      <c r="H152" s="271">
        <v>10.62</v>
      </c>
      <c r="I152" s="271">
        <v>10.67</v>
      </c>
      <c r="J152" s="271">
        <v>10.67</v>
      </c>
      <c r="K152" s="271">
        <v>10.7</v>
      </c>
      <c r="L152" s="271">
        <v>10.58</v>
      </c>
      <c r="M152" s="271">
        <v>10.52</v>
      </c>
      <c r="N152" s="271">
        <v>10.4</v>
      </c>
      <c r="O152" s="271">
        <v>10.42</v>
      </c>
      <c r="P152" s="271">
        <v>10.41</v>
      </c>
      <c r="Q152" s="271">
        <v>10.5</v>
      </c>
      <c r="R152" s="271">
        <v>10.51</v>
      </c>
      <c r="S152" s="271">
        <v>10.51</v>
      </c>
      <c r="T152" s="271">
        <v>10.51</v>
      </c>
      <c r="U152" s="271">
        <v>10.46</v>
      </c>
      <c r="V152" s="271">
        <v>10.42</v>
      </c>
      <c r="W152" s="271">
        <v>10.39</v>
      </c>
      <c r="X152" s="271">
        <v>10.25</v>
      </c>
      <c r="Y152" s="271">
        <v>10.09</v>
      </c>
      <c r="Z152" s="273">
        <f ca="1">[1]ExtEntry!$G51</f>
        <v>10.09</v>
      </c>
      <c r="AA152" s="298"/>
      <c r="AB152" s="281">
        <v>0.47887897235880178</v>
      </c>
      <c r="AC152" s="281">
        <v>0.19432560523029224</v>
      </c>
      <c r="AD152" s="281">
        <v>0.26631354215345121</v>
      </c>
      <c r="AE152" s="281">
        <v>0.53211112024172913</v>
      </c>
      <c r="AF152" s="281">
        <v>0.53211112024172913</v>
      </c>
      <c r="AG152" s="281">
        <v>0.69926632786411647</v>
      </c>
      <c r="AH152" s="281">
        <v>0.636768353901352</v>
      </c>
      <c r="AI152" s="281">
        <v>1.0238283506234445</v>
      </c>
      <c r="AJ152" s="281">
        <v>0.89436087114141627</v>
      </c>
      <c r="AK152" s="281">
        <v>0.13637010720312803</v>
      </c>
      <c r="AL152" s="281">
        <v>0.95657591642557449</v>
      </c>
      <c r="AM152" s="281">
        <v>0.19382443267971894</v>
      </c>
      <c r="AN152" s="281">
        <v>5.9144652667532903E-2</v>
      </c>
      <c r="AO152" s="281">
        <v>5.8412655556146892E-6</v>
      </c>
      <c r="AP152" s="281">
        <v>1.2839950076204187E-4</v>
      </c>
      <c r="AQ152" s="281">
        <v>0.96323059111939235</v>
      </c>
      <c r="AR152" s="281">
        <v>0.66996301711104755</v>
      </c>
      <c r="AS152" s="281">
        <v>0.81498730653045892</v>
      </c>
      <c r="AT152" s="281">
        <v>1.3647820808634992</v>
      </c>
      <c r="AU152" s="281">
        <v>1.259964776017453</v>
      </c>
      <c r="AV152" s="281">
        <f ca="1">Calc!AY51</f>
        <v>1.259964776017453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11.86</v>
      </c>
      <c r="G153" s="271">
        <v>12.03</v>
      </c>
      <c r="H153" s="271">
        <v>11.95</v>
      </c>
      <c r="I153" s="271">
        <v>11.98</v>
      </c>
      <c r="J153" s="271">
        <v>11.98</v>
      </c>
      <c r="K153" s="271">
        <v>12.04</v>
      </c>
      <c r="L153" s="271">
        <v>12.08</v>
      </c>
      <c r="M153" s="271">
        <v>11.94</v>
      </c>
      <c r="N153" s="271">
        <v>11.914999999999999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0.30875891721304644</v>
      </c>
      <c r="AC153" s="281">
        <v>0.68881100217473401</v>
      </c>
      <c r="AD153" s="281">
        <v>8.7304600682959171E-2</v>
      </c>
      <c r="AE153" s="281">
        <v>1.2188543217145371</v>
      </c>
      <c r="AF153" s="281">
        <v>1.2188543217145371</v>
      </c>
      <c r="AG153" s="281">
        <v>2.2214385341489811</v>
      </c>
      <c r="AH153" s="281">
        <v>4.6769737369657287</v>
      </c>
      <c r="AI153" s="281">
        <v>10.198036943096492</v>
      </c>
      <c r="AJ153" s="281">
        <v>36.774845786429985</v>
      </c>
      <c r="AK153" s="281">
        <v>14.986033366586197</v>
      </c>
      <c r="AL153" s="281">
        <v>15.054479781115342</v>
      </c>
      <c r="AM153" s="281">
        <v>14.986033366586197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107.5</v>
      </c>
      <c r="G154" s="271">
        <v>106.2</v>
      </c>
      <c r="H154" s="271">
        <v>106.51</v>
      </c>
      <c r="I154" s="271">
        <v>106.19</v>
      </c>
      <c r="J154" s="271">
        <v>106.19</v>
      </c>
      <c r="K154" s="271">
        <v>107.88</v>
      </c>
      <c r="L154" s="271">
        <v>110.9</v>
      </c>
      <c r="M154" s="271">
        <v>111.37</v>
      </c>
      <c r="N154" s="271">
        <v>111.42</v>
      </c>
      <c r="O154" s="271">
        <v>112.87</v>
      </c>
      <c r="P154" s="271">
        <v>113.715</v>
      </c>
      <c r="Q154" s="271">
        <v>114.16</v>
      </c>
      <c r="R154" s="271">
        <v>113.78</v>
      </c>
      <c r="S154" s="271">
        <v>113.97</v>
      </c>
      <c r="T154" s="271">
        <v>112.105</v>
      </c>
      <c r="U154" s="271">
        <v>109.73</v>
      </c>
      <c r="V154" s="271">
        <v>110.52500000000001</v>
      </c>
      <c r="W154" s="271">
        <v>111.16</v>
      </c>
      <c r="X154" s="271">
        <v>111.52</v>
      </c>
      <c r="Y154" s="271">
        <v>112.86</v>
      </c>
      <c r="Z154" s="273">
        <f ca="1">[1]ExtEntry!$G53</f>
        <v>112.86</v>
      </c>
      <c r="AA154" s="298"/>
      <c r="AB154" s="281">
        <v>0.33017821445513484</v>
      </c>
      <c r="AC154" s="281">
        <v>0.43830528404766422</v>
      </c>
      <c r="AD154" s="281">
        <v>0.13774582146961156</v>
      </c>
      <c r="AE154" s="281">
        <v>0.59711481425015278</v>
      </c>
      <c r="AF154" s="281">
        <v>0.59711481425015278</v>
      </c>
      <c r="AG154" s="281">
        <v>1.1984842842646655</v>
      </c>
      <c r="AH154" s="281">
        <v>0.63510600001590667</v>
      </c>
      <c r="AI154" s="281">
        <v>1.2051217015457272</v>
      </c>
      <c r="AJ154" s="281">
        <v>1.0025590462561182</v>
      </c>
      <c r="AK154" s="281">
        <v>0.18218196099457176</v>
      </c>
      <c r="AL154" s="281">
        <v>0.95922387565379708</v>
      </c>
      <c r="AM154" s="281">
        <v>0.24068030279837035</v>
      </c>
      <c r="AN154" s="281">
        <v>0.12913246842897338</v>
      </c>
      <c r="AO154" s="281">
        <v>1.5876347730694223E-4</v>
      </c>
      <c r="AP154" s="281">
        <v>7.8990010450807554E-4</v>
      </c>
      <c r="AQ154" s="281">
        <v>0.9959179173760313</v>
      </c>
      <c r="AR154" s="281">
        <v>0.96324116690878081</v>
      </c>
      <c r="AS154" s="281">
        <v>1.0443196982210265</v>
      </c>
      <c r="AT154" s="281">
        <v>0.56471194598956775</v>
      </c>
      <c r="AU154" s="281">
        <v>0.75013527519452761</v>
      </c>
      <c r="AV154" s="281">
        <f ca="1">Calc!AY53</f>
        <v>0.75013527519452761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6.14</v>
      </c>
      <c r="G155" s="271">
        <v>5.93</v>
      </c>
      <c r="H155" s="271">
        <v>5.93</v>
      </c>
      <c r="I155" s="271">
        <v>6.19</v>
      </c>
      <c r="J155" s="271">
        <v>6.19</v>
      </c>
      <c r="K155" s="271">
        <v>6.15</v>
      </c>
      <c r="L155" s="271">
        <v>6.22</v>
      </c>
      <c r="M155" s="271">
        <v>6.2</v>
      </c>
      <c r="N155" s="271">
        <v>6</v>
      </c>
      <c r="O155" s="271">
        <v>6.07</v>
      </c>
      <c r="P155" s="271">
        <v>6.06</v>
      </c>
      <c r="Q155" s="271">
        <v>5.93</v>
      </c>
      <c r="R155" s="271">
        <v>5.85</v>
      </c>
      <c r="S155" s="271">
        <v>5.86</v>
      </c>
      <c r="T155" s="271">
        <v>5.93</v>
      </c>
      <c r="U155" s="271">
        <v>6.15</v>
      </c>
      <c r="V155" s="271">
        <v>6.11</v>
      </c>
      <c r="W155" s="271">
        <v>6</v>
      </c>
      <c r="X155" s="271">
        <v>5.98</v>
      </c>
      <c r="Y155" s="271">
        <v>6.06</v>
      </c>
      <c r="Z155" s="273">
        <f ca="1">[1]ExtEntry!$G54</f>
        <v>6.06</v>
      </c>
      <c r="AA155" s="298"/>
      <c r="AB155" s="281">
        <v>0.27189745046456365</v>
      </c>
      <c r="AC155" s="281">
        <v>0.24724959351799478</v>
      </c>
      <c r="AD155" s="281">
        <v>0.11606115536320585</v>
      </c>
      <c r="AE155" s="281">
        <v>0.8436708056277159</v>
      </c>
      <c r="AF155" s="281">
        <v>0.8436708056277159</v>
      </c>
      <c r="AG155" s="281">
        <v>0.89152838698798076</v>
      </c>
      <c r="AH155" s="281">
        <v>1.5303931489844282</v>
      </c>
      <c r="AI155" s="281">
        <v>1.1235259212656969</v>
      </c>
      <c r="AJ155" s="281">
        <v>0.69166208583978261</v>
      </c>
      <c r="AK155" s="281">
        <v>9.670057659992376E-2</v>
      </c>
      <c r="AL155" s="281">
        <v>0.94188292775166094</v>
      </c>
      <c r="AM155" s="281">
        <v>0.16848780455782292</v>
      </c>
      <c r="AN155" s="281">
        <v>6.5948393847170508E-2</v>
      </c>
      <c r="AO155" s="281">
        <v>0.90778692175501741</v>
      </c>
      <c r="AP155" s="281">
        <v>5.5747850355833588E-3</v>
      </c>
      <c r="AQ155" s="281">
        <v>0.64329998858925108</v>
      </c>
      <c r="AR155" s="281">
        <v>0.69698289559771942</v>
      </c>
      <c r="AS155" s="281">
        <v>1.0041129680020204</v>
      </c>
      <c r="AT155" s="281">
        <v>0.66506523255415084</v>
      </c>
      <c r="AU155" s="281">
        <v>0.8378930811488462</v>
      </c>
      <c r="AV155" s="285">
        <f ca="1">Calc!AY54</f>
        <v>0.8378930811488462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0.96</v>
      </c>
      <c r="H156" s="271">
        <v>0.96</v>
      </c>
      <c r="I156" s="271">
        <v>0.95799999999999996</v>
      </c>
      <c r="J156" s="271">
        <v>0.95799999999999996</v>
      </c>
      <c r="K156" s="271">
        <v>0.93799999999999994</v>
      </c>
      <c r="L156" s="271">
        <v>0.93</v>
      </c>
      <c r="M156" s="271">
        <v>0.91</v>
      </c>
      <c r="N156" s="271">
        <v>0.91</v>
      </c>
      <c r="O156" s="271">
        <v>0.91800000000000004</v>
      </c>
      <c r="P156" s="271">
        <v>0.94</v>
      </c>
      <c r="Q156" s="271">
        <v>0.91</v>
      </c>
      <c r="R156" s="271">
        <v>0.91</v>
      </c>
      <c r="S156" s="271">
        <v>0.91800000000000004</v>
      </c>
      <c r="T156" s="271">
        <v>0.89200000000000002</v>
      </c>
      <c r="U156" s="271">
        <v>0.9</v>
      </c>
      <c r="V156" s="271">
        <v>0.89</v>
      </c>
      <c r="W156" s="271">
        <v>0.91</v>
      </c>
      <c r="X156" s="271">
        <v>0.86199999999999999</v>
      </c>
      <c r="Y156" s="271">
        <v>0.88800000000000001</v>
      </c>
      <c r="Z156" s="273">
        <f ca="1">[1]ExtEntry!$G55</f>
        <v>0.88800000000000001</v>
      </c>
      <c r="AA156" s="298"/>
      <c r="AB156" s="281">
        <v>0.33217391304347826</v>
      </c>
      <c r="AC156" s="281">
        <v>0.77391304347826084</v>
      </c>
      <c r="AD156" s="281">
        <v>0.83259493670886076</v>
      </c>
      <c r="AE156" s="281">
        <v>2.9484177215189873</v>
      </c>
      <c r="AF156" s="281">
        <v>2.9484177215189873</v>
      </c>
      <c r="AG156" s="281">
        <v>1.8489296636085626</v>
      </c>
      <c r="AH156" s="281">
        <v>0.86292834890965731</v>
      </c>
      <c r="AI156" s="281">
        <v>0.82242990654205606</v>
      </c>
      <c r="AJ156" s="281">
        <v>0.92171253822629973</v>
      </c>
      <c r="AK156" s="281">
        <v>0.38868501529051985</v>
      </c>
      <c r="AL156" s="281">
        <v>2.3563025210084034</v>
      </c>
      <c r="AM156" s="281">
        <v>1.2114845938375349</v>
      </c>
      <c r="AN156" s="281">
        <v>1.2182254196642686</v>
      </c>
      <c r="AO156" s="281">
        <v>0.16920980926430518</v>
      </c>
      <c r="AP156" s="281">
        <v>6.1967709022378071E-4</v>
      </c>
      <c r="AQ156" s="281">
        <v>0.483743842364532</v>
      </c>
      <c r="AR156" s="281">
        <v>0.99396984924623111</v>
      </c>
      <c r="AS156" s="281">
        <v>2.2715328467153286</v>
      </c>
      <c r="AT156" s="281">
        <v>1.4605839416058395</v>
      </c>
      <c r="AU156" s="281">
        <v>2.2413793103448276E-2</v>
      </c>
      <c r="AV156" s="281">
        <f ca="1">Calc!AY55</f>
        <v>2.2413793103448276E-2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2.25</v>
      </c>
      <c r="G157" s="271">
        <v>2.12</v>
      </c>
      <c r="H157" s="271">
        <v>2.0350000000000001</v>
      </c>
      <c r="I157" s="271">
        <v>2.0699999999999998</v>
      </c>
      <c r="J157" s="271">
        <v>2.0699999999999998</v>
      </c>
      <c r="K157" s="271">
        <v>1.94</v>
      </c>
      <c r="L157" s="271">
        <v>2.09</v>
      </c>
      <c r="M157" s="271">
        <v>2.1800000000000002</v>
      </c>
      <c r="N157" s="271">
        <v>2.23</v>
      </c>
      <c r="O157" s="271">
        <v>2.5499999999999998</v>
      </c>
      <c r="P157" s="271">
        <v>2.41</v>
      </c>
      <c r="Q157" s="271">
        <v>2.2599999999999998</v>
      </c>
      <c r="R157" s="271">
        <v>2.17</v>
      </c>
      <c r="S157" s="271">
        <v>2.1800000000000002</v>
      </c>
      <c r="T157" s="271">
        <v>2.0499999999999998</v>
      </c>
      <c r="U157" s="271">
        <v>2.13</v>
      </c>
      <c r="V157" s="271">
        <v>2.15</v>
      </c>
      <c r="W157" s="271">
        <v>2.12</v>
      </c>
      <c r="X157" s="271">
        <v>2.1150000000000002</v>
      </c>
      <c r="Y157" s="271">
        <v>2.27</v>
      </c>
      <c r="Z157" s="273">
        <f ca="1">[1]ExtEntry!$G56</f>
        <v>2.27</v>
      </c>
      <c r="AA157" s="298"/>
      <c r="AB157" s="281">
        <v>0.78671885715491496</v>
      </c>
      <c r="AC157" s="281">
        <v>0.36411764463227542</v>
      </c>
      <c r="AD157" s="281">
        <v>0.72924701755660637</v>
      </c>
      <c r="AE157" s="281">
        <v>0.61550843947522571</v>
      </c>
      <c r="AF157" s="281">
        <v>0.61550843947522571</v>
      </c>
      <c r="AG157" s="281">
        <v>0.69298493061311872</v>
      </c>
      <c r="AH157" s="281">
        <v>0.7762405809497982</v>
      </c>
      <c r="AI157" s="281">
        <v>0.86746339258865013</v>
      </c>
      <c r="AJ157" s="281">
        <v>4.2009130025701653</v>
      </c>
      <c r="AK157" s="281">
        <v>0.49753824219458131</v>
      </c>
      <c r="AL157" s="281">
        <v>0.79509302521594627</v>
      </c>
      <c r="AM157" s="281">
        <v>0.26977852340416658</v>
      </c>
      <c r="AN157" s="281">
        <v>0.10678070165845611</v>
      </c>
      <c r="AO157" s="281">
        <v>2.6692776189329452E-4</v>
      </c>
      <c r="AP157" s="281">
        <v>3.8278273151273871E-3</v>
      </c>
      <c r="AQ157" s="281">
        <v>0.49203418326991388</v>
      </c>
      <c r="AR157" s="281">
        <v>0.44621445402582138</v>
      </c>
      <c r="AS157" s="281">
        <v>0.57053942844138039</v>
      </c>
      <c r="AT157" s="281">
        <v>0.59845534789912791</v>
      </c>
      <c r="AU157" s="281">
        <v>0.41372923122963995</v>
      </c>
      <c r="AV157" s="285">
        <f ca="1">Calc!AY56</f>
        <v>0.41372923122963995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26.75</v>
      </c>
      <c r="G158" s="271">
        <v>26.66</v>
      </c>
      <c r="H158" s="271">
        <v>26.94</v>
      </c>
      <c r="I158" s="271">
        <v>26.75</v>
      </c>
      <c r="J158" s="271">
        <v>26.75</v>
      </c>
      <c r="K158" s="271">
        <v>26.8</v>
      </c>
      <c r="L158" s="271">
        <v>27.16</v>
      </c>
      <c r="M158" s="271">
        <v>26.7</v>
      </c>
      <c r="N158" s="271">
        <v>26.36</v>
      </c>
      <c r="O158" s="271">
        <v>26.81</v>
      </c>
      <c r="P158" s="271">
        <v>26.59</v>
      </c>
      <c r="Q158" s="271">
        <v>26.52</v>
      </c>
      <c r="R158" s="271">
        <v>26.41</v>
      </c>
      <c r="S158" s="271">
        <v>26.54</v>
      </c>
      <c r="T158" s="271">
        <v>26.8</v>
      </c>
      <c r="U158" s="271">
        <v>26.89</v>
      </c>
      <c r="V158" s="271">
        <v>27.44</v>
      </c>
      <c r="W158" s="271">
        <v>27.78</v>
      </c>
      <c r="X158" s="271">
        <v>27.33</v>
      </c>
      <c r="Y158" s="271">
        <v>27.37</v>
      </c>
      <c r="Z158" s="273">
        <f ca="1">[1]ExtEntry!$G57</f>
        <v>27.37</v>
      </c>
      <c r="AA158" s="298"/>
      <c r="AB158" s="281">
        <v>1.0224680845064464</v>
      </c>
      <c r="AC158" s="281">
        <v>0.37904583527707958</v>
      </c>
      <c r="AD158" s="281">
        <v>0.19369616462320796</v>
      </c>
      <c r="AE158" s="281">
        <v>1.1696727995137211</v>
      </c>
      <c r="AF158" s="281">
        <v>1.1696727995137211</v>
      </c>
      <c r="AG158" s="281">
        <v>0.87075750400288654</v>
      </c>
      <c r="AH158" s="281">
        <v>0.68055658352453552</v>
      </c>
      <c r="AI158" s="281">
        <v>2.5787647579812951</v>
      </c>
      <c r="AJ158" s="281">
        <v>1.147298054944581</v>
      </c>
      <c r="AK158" s="281">
        <v>0.38247725018329237</v>
      </c>
      <c r="AL158" s="281">
        <v>0.30012558048269999</v>
      </c>
      <c r="AM158" s="281">
        <v>0.50841127608084247</v>
      </c>
      <c r="AN158" s="281">
        <v>0.20699068783902702</v>
      </c>
      <c r="AO158" s="281">
        <v>0.18107189160332512</v>
      </c>
      <c r="AP158" s="281">
        <v>0.49922385864137964</v>
      </c>
      <c r="AQ158" s="281">
        <v>0.64520941608070925</v>
      </c>
      <c r="AR158" s="281">
        <v>1.4764818240857469</v>
      </c>
      <c r="AS158" s="281">
        <v>1.0355503906359385</v>
      </c>
      <c r="AT158" s="281">
        <v>0.70865951667553417</v>
      </c>
      <c r="AU158" s="281">
        <v>0.84064482926332695</v>
      </c>
      <c r="AV158" s="281">
        <f ca="1">Calc!AY57</f>
        <v>0.84064482926332695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16.015000000000001</v>
      </c>
      <c r="G159" s="271">
        <v>16.010000000000002</v>
      </c>
      <c r="H159" s="271">
        <v>15.875</v>
      </c>
      <c r="I159" s="271">
        <v>15.795</v>
      </c>
      <c r="J159" s="271">
        <v>15.795</v>
      </c>
      <c r="K159" s="271">
        <v>15.78</v>
      </c>
      <c r="L159" s="271">
        <v>15.375</v>
      </c>
      <c r="M159" s="271">
        <v>15.545</v>
      </c>
      <c r="N159" s="271">
        <v>15.645</v>
      </c>
      <c r="O159" s="271">
        <v>15.725</v>
      </c>
      <c r="P159" s="271">
        <v>15.275</v>
      </c>
      <c r="Q159" s="271">
        <v>15</v>
      </c>
      <c r="R159" s="271">
        <v>14.664999999999999</v>
      </c>
      <c r="S159" s="271">
        <v>14.84</v>
      </c>
      <c r="T159" s="271">
        <v>14.91</v>
      </c>
      <c r="U159" s="271">
        <v>15.244999999999999</v>
      </c>
      <c r="V159" s="271">
        <v>15.345000000000001</v>
      </c>
      <c r="W159" s="271">
        <v>15.25</v>
      </c>
      <c r="X159" s="271">
        <v>15.34</v>
      </c>
      <c r="Y159" s="271">
        <v>15.35</v>
      </c>
      <c r="Z159" s="273">
        <f ca="1">[1]ExtEntry!$G58</f>
        <v>15.35</v>
      </c>
      <c r="AA159" s="298"/>
      <c r="AB159" s="281">
        <v>0.979873686836639</v>
      </c>
      <c r="AC159" s="281">
        <v>0.35805565009993268</v>
      </c>
      <c r="AD159" s="281">
        <v>0.24217004841141768</v>
      </c>
      <c r="AE159" s="281">
        <v>0.979560329091823</v>
      </c>
      <c r="AF159" s="281">
        <v>0.979560329091823</v>
      </c>
      <c r="AG159" s="281">
        <v>1.5034739578126561</v>
      </c>
      <c r="AH159" s="281">
        <v>0.66571035696316572</v>
      </c>
      <c r="AI159" s="281">
        <v>1.4155756166050699</v>
      </c>
      <c r="AJ159" s="281">
        <v>0.80384016727284047</v>
      </c>
      <c r="AK159" s="281">
        <v>0.49306938398559708</v>
      </c>
      <c r="AL159" s="281">
        <v>0.26765990191014288</v>
      </c>
      <c r="AM159" s="281">
        <v>0.73895903337291724</v>
      </c>
      <c r="AN159" s="281">
        <v>0.40584812997865433</v>
      </c>
      <c r="AO159" s="281">
        <v>0.25667775986688157</v>
      </c>
      <c r="AP159" s="281">
        <v>0.39115581896623441</v>
      </c>
      <c r="AQ159" s="281">
        <v>1.2022287043071129</v>
      </c>
      <c r="AR159" s="281">
        <v>0.70569194452640893</v>
      </c>
      <c r="AS159" s="281">
        <v>0.55841424954895891</v>
      </c>
      <c r="AT159" s="281">
        <v>0.59672243427563043</v>
      </c>
      <c r="AU159" s="281">
        <v>1.2674223751841054</v>
      </c>
      <c r="AV159" s="285">
        <f ca="1">Calc!AY58</f>
        <v>1.2674223751841054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14.97</v>
      </c>
      <c r="G160" s="271">
        <v>14.97</v>
      </c>
      <c r="H160" s="271">
        <v>15.05</v>
      </c>
      <c r="I160" s="271">
        <v>14.94</v>
      </c>
      <c r="J160" s="271">
        <v>14.94</v>
      </c>
      <c r="K160" s="271">
        <v>14.997999999999999</v>
      </c>
      <c r="L160" s="271">
        <v>15.26</v>
      </c>
      <c r="M160" s="271">
        <v>15.268000000000001</v>
      </c>
      <c r="N160" s="271">
        <v>15.2</v>
      </c>
      <c r="O160" s="271">
        <v>15.22</v>
      </c>
      <c r="P160" s="271">
        <v>15.302</v>
      </c>
      <c r="Q160" s="271">
        <v>15.247999999999999</v>
      </c>
      <c r="R160" s="271">
        <v>15.238</v>
      </c>
      <c r="S160" s="271">
        <v>14.85</v>
      </c>
      <c r="T160" s="271">
        <v>14.968</v>
      </c>
      <c r="U160" s="271">
        <v>14.74</v>
      </c>
      <c r="V160" s="271">
        <v>14.752000000000001</v>
      </c>
      <c r="W160" s="271">
        <v>14.94</v>
      </c>
      <c r="X160" s="271">
        <v>15.04</v>
      </c>
      <c r="Y160" s="271">
        <v>14.83</v>
      </c>
      <c r="Z160" s="273">
        <f ca="1">[1]ExtEntry!$G59</f>
        <v>14.83</v>
      </c>
      <c r="AA160" s="298"/>
      <c r="AB160" s="281">
        <v>0.76283516724753764</v>
      </c>
      <c r="AC160" s="281">
        <v>0.81830051450786889</v>
      </c>
      <c r="AD160" s="281">
        <v>0.65624612826636142</v>
      </c>
      <c r="AE160" s="281">
        <v>0.90400322865163496</v>
      </c>
      <c r="AF160" s="281">
        <v>0.90400322865163496</v>
      </c>
      <c r="AG160" s="281">
        <v>0.88657529501228449</v>
      </c>
      <c r="AH160" s="281">
        <v>0.83114985019452348</v>
      </c>
      <c r="AI160" s="281">
        <v>2.5963221886008716</v>
      </c>
      <c r="AJ160" s="281">
        <v>0.71656676134386665</v>
      </c>
      <c r="AK160" s="281">
        <v>0.4980142411923974</v>
      </c>
      <c r="AL160" s="281">
        <v>0.62070841725548453</v>
      </c>
      <c r="AM160" s="281">
        <v>0.93056763905579531</v>
      </c>
      <c r="AN160" s="281">
        <v>0.87759269696953734</v>
      </c>
      <c r="AO160" s="281">
        <v>0.29056376413125778</v>
      </c>
      <c r="AP160" s="281">
        <v>0.56777200557890406</v>
      </c>
      <c r="AQ160" s="281">
        <v>0.72850047327483325</v>
      </c>
      <c r="AR160" s="281">
        <v>1.0210709542927034</v>
      </c>
      <c r="AS160" s="281">
        <v>0.60912935613972907</v>
      </c>
      <c r="AT160" s="281">
        <v>0.79638124352803508</v>
      </c>
      <c r="AU160" s="281">
        <v>0.73234913528008072</v>
      </c>
      <c r="AV160" s="281">
        <f ca="1">Calc!AY59</f>
        <v>0.73234913528008072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1.92</v>
      </c>
      <c r="G161" s="271">
        <v>1.92</v>
      </c>
      <c r="H161" s="271">
        <v>1.92</v>
      </c>
      <c r="I161" s="271">
        <v>1.91</v>
      </c>
      <c r="J161" s="271">
        <v>1.91</v>
      </c>
      <c r="K161" s="271">
        <v>1.92</v>
      </c>
      <c r="L161" s="271">
        <v>0.74280000000000002</v>
      </c>
      <c r="M161" s="271">
        <v>0.2666</v>
      </c>
      <c r="N161" s="271">
        <v>0.248</v>
      </c>
      <c r="O161" s="271">
        <v>0.22720000000000001</v>
      </c>
      <c r="P161" s="271">
        <v>0.22950000000000001</v>
      </c>
      <c r="Q161" s="271">
        <v>0.23330000000000001</v>
      </c>
      <c r="R161" s="271">
        <v>0.2321</v>
      </c>
      <c r="S161" s="271">
        <v>0.2321</v>
      </c>
      <c r="T161" s="271">
        <v>0.23039999999999999</v>
      </c>
      <c r="U161" s="271">
        <v>0.2329</v>
      </c>
      <c r="V161" s="271">
        <v>0.23269999999999999</v>
      </c>
      <c r="W161" s="271">
        <v>0.23499999999999999</v>
      </c>
      <c r="X161" s="271">
        <v>0.2107</v>
      </c>
      <c r="Y161" s="271">
        <v>0.21099999999999999</v>
      </c>
      <c r="Z161" s="273">
        <f ca="1">[1]ExtEntry!$G60</f>
        <v>0.21099999999999999</v>
      </c>
      <c r="AA161" s="298"/>
      <c r="AB161" s="281">
        <v>0.65609391683908747</v>
      </c>
      <c r="AC161" s="281">
        <v>2.8999668085074645E-2</v>
      </c>
      <c r="AD161" s="281">
        <v>0.28310599969016725</v>
      </c>
      <c r="AE161" s="281">
        <v>0.48248442267450697</v>
      </c>
      <c r="AF161" s="281">
        <v>0.48248442267450697</v>
      </c>
      <c r="AG161" s="281">
        <v>0.48468822079451973</v>
      </c>
      <c r="AH161" s="281">
        <v>385.82882622546987</v>
      </c>
      <c r="AI161" s="281">
        <v>14.238457187816238</v>
      </c>
      <c r="AJ161" s="281">
        <v>1.3334749171234279</v>
      </c>
      <c r="AK161" s="281">
        <v>0.59774643768501012</v>
      </c>
      <c r="AL161" s="281">
        <v>0.76939148391974677</v>
      </c>
      <c r="AM161" s="281">
        <v>0.24275609761947306</v>
      </c>
      <c r="AN161" s="281">
        <v>7.0585160765146399E-2</v>
      </c>
      <c r="AO161" s="281">
        <v>8.002941784105537E-3</v>
      </c>
      <c r="AP161" s="281">
        <v>2.0410057710734335E-2</v>
      </c>
      <c r="AQ161" s="281">
        <v>0.17119482710634001</v>
      </c>
      <c r="AR161" s="281">
        <v>0.18266305868380225</v>
      </c>
      <c r="AS161" s="281">
        <v>0.71288361734304984</v>
      </c>
      <c r="AT161" s="281">
        <v>0.12909604463286564</v>
      </c>
      <c r="AU161" s="281">
        <v>0.1144557343760981</v>
      </c>
      <c r="AV161" s="285">
        <f ca="1">Calc!AY60</f>
        <v>0.1144557343760981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57.7</v>
      </c>
      <c r="G162" s="271">
        <v>58.88</v>
      </c>
      <c r="H162" s="271">
        <v>58.6</v>
      </c>
      <c r="I162" s="271">
        <v>58</v>
      </c>
      <c r="J162" s="271">
        <v>58</v>
      </c>
      <c r="K162" s="271">
        <v>58.04</v>
      </c>
      <c r="L162" s="271">
        <v>57.66</v>
      </c>
      <c r="M162" s="271">
        <v>53</v>
      </c>
      <c r="N162" s="271">
        <v>52.12</v>
      </c>
      <c r="O162" s="271">
        <v>52.34</v>
      </c>
      <c r="P162" s="271">
        <v>53.16</v>
      </c>
      <c r="Q162" s="271">
        <v>53.28</v>
      </c>
      <c r="R162" s="271">
        <v>52.5</v>
      </c>
      <c r="S162" s="271">
        <v>52.64</v>
      </c>
      <c r="T162" s="271">
        <v>54.36</v>
      </c>
      <c r="U162" s="271">
        <v>53.26</v>
      </c>
      <c r="V162" s="271">
        <v>53.82</v>
      </c>
      <c r="W162" s="271">
        <v>54.54</v>
      </c>
      <c r="X162" s="271">
        <v>56.18</v>
      </c>
      <c r="Y162" s="271">
        <v>57.8</v>
      </c>
      <c r="Z162" s="273">
        <f ca="1">[1]ExtEntry!$G61</f>
        <v>57.8</v>
      </c>
      <c r="AA162" s="298"/>
      <c r="AB162" s="281">
        <v>0.65746305812063766</v>
      </c>
      <c r="AC162" s="281">
        <v>0.37567006549881488</v>
      </c>
      <c r="AD162" s="281">
        <v>0.45723330820336427</v>
      </c>
      <c r="AE162" s="281">
        <v>0.620553762427555</v>
      </c>
      <c r="AF162" s="281">
        <v>0.620553762427555</v>
      </c>
      <c r="AG162" s="281">
        <v>0.99273933740443332</v>
      </c>
      <c r="AH162" s="281">
        <v>1.7956747053244817</v>
      </c>
      <c r="AI162" s="281">
        <v>5.5957431242379085</v>
      </c>
      <c r="AJ162" s="281">
        <v>1.632206932898717</v>
      </c>
      <c r="AK162" s="281">
        <v>0.62137488761830528</v>
      </c>
      <c r="AL162" s="281">
        <v>0.51589308716993465</v>
      </c>
      <c r="AM162" s="281">
        <v>0.73655834425570754</v>
      </c>
      <c r="AN162" s="281">
        <v>0.42302476089501467</v>
      </c>
      <c r="AO162" s="281">
        <v>0.3018495620636566</v>
      </c>
      <c r="AP162" s="281">
        <v>0.34564023991472437</v>
      </c>
      <c r="AQ162" s="281">
        <v>0.72348552698978352</v>
      </c>
      <c r="AR162" s="281">
        <v>0.800329967663169</v>
      </c>
      <c r="AS162" s="281">
        <v>0.88331075231665701</v>
      </c>
      <c r="AT162" s="281">
        <v>0.93449053349213518</v>
      </c>
      <c r="AU162" s="281">
        <v>0.67086524117354551</v>
      </c>
      <c r="AV162" s="281">
        <f ca="1">Calc!AY61</f>
        <v>0.67086524117354551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14.305</v>
      </c>
      <c r="G163" s="271">
        <v>14.41</v>
      </c>
      <c r="H163" s="271">
        <v>14.49</v>
      </c>
      <c r="I163" s="271">
        <v>14.52</v>
      </c>
      <c r="J163" s="271">
        <v>14.52</v>
      </c>
      <c r="K163" s="271">
        <v>14.395</v>
      </c>
      <c r="L163" s="271">
        <v>14.385</v>
      </c>
      <c r="M163" s="271">
        <v>14.05</v>
      </c>
      <c r="N163" s="271">
        <v>13.875</v>
      </c>
      <c r="O163" s="271">
        <v>13.904999999999999</v>
      </c>
      <c r="P163" s="271">
        <v>13.965</v>
      </c>
      <c r="Q163" s="271">
        <v>13.82</v>
      </c>
      <c r="R163" s="271">
        <v>13.74</v>
      </c>
      <c r="S163" s="271">
        <v>13.5</v>
      </c>
      <c r="T163" s="271">
        <v>13.7</v>
      </c>
      <c r="U163" s="271">
        <v>13.615</v>
      </c>
      <c r="V163" s="271">
        <v>13.545</v>
      </c>
      <c r="W163" s="271">
        <v>13.64</v>
      </c>
      <c r="X163" s="271">
        <v>13.69</v>
      </c>
      <c r="Y163" s="271">
        <v>13.945</v>
      </c>
      <c r="Z163" s="273">
        <f ca="1">[1]ExtEntry!$G62</f>
        <v>13.945</v>
      </c>
      <c r="AA163" s="298"/>
      <c r="AB163" s="281">
        <v>1.370680455701361</v>
      </c>
      <c r="AC163" s="281">
        <v>0.20913597351075161</v>
      </c>
      <c r="AD163" s="281">
        <v>0.25569411178185525</v>
      </c>
      <c r="AE163" s="281">
        <v>0.9699543725411568</v>
      </c>
      <c r="AF163" s="281">
        <v>0.9699543725411568</v>
      </c>
      <c r="AG163" s="281">
        <v>0.76195189632931226</v>
      </c>
      <c r="AH163" s="281">
        <v>1.0036534456758504</v>
      </c>
      <c r="AI163" s="281">
        <v>3.4472748162864733</v>
      </c>
      <c r="AJ163" s="281">
        <v>1.1223387506543898</v>
      </c>
      <c r="AK163" s="281">
        <v>0.22000527361192376</v>
      </c>
      <c r="AL163" s="281">
        <v>0.14101421660353247</v>
      </c>
      <c r="AM163" s="281">
        <v>0.31528589140918567</v>
      </c>
      <c r="AN163" s="281">
        <v>0.23817996575475134</v>
      </c>
      <c r="AO163" s="281">
        <v>0.19149651866203135</v>
      </c>
      <c r="AP163" s="281">
        <v>0.38041273577364465</v>
      </c>
      <c r="AQ163" s="281">
        <v>0.61545617420066157</v>
      </c>
      <c r="AR163" s="281">
        <v>0.47934175165380377</v>
      </c>
      <c r="AS163" s="281">
        <v>0.72947597061680691</v>
      </c>
      <c r="AT163" s="281">
        <v>0.79711233921530611</v>
      </c>
      <c r="AU163" s="281">
        <v>0.48995123707291532</v>
      </c>
      <c r="AV163" s="285">
        <f ca="1">Calc!AY62</f>
        <v>0.48995123707291532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34.65</v>
      </c>
      <c r="G164" s="271">
        <v>34.68</v>
      </c>
      <c r="H164" s="271">
        <v>35.08</v>
      </c>
      <c r="I164" s="271">
        <v>35.35</v>
      </c>
      <c r="J164" s="271">
        <v>35.35</v>
      </c>
      <c r="K164" s="271">
        <v>35.340000000000003</v>
      </c>
      <c r="L164" s="271">
        <v>35.18</v>
      </c>
      <c r="M164" s="271">
        <v>35.35</v>
      </c>
      <c r="N164" s="271">
        <v>35</v>
      </c>
      <c r="O164" s="271">
        <v>35</v>
      </c>
      <c r="P164" s="271">
        <v>34.31</v>
      </c>
      <c r="Q164" s="271">
        <v>34.4</v>
      </c>
      <c r="R164" s="271">
        <v>33.880000000000003</v>
      </c>
      <c r="S164" s="271">
        <v>34.270000000000003</v>
      </c>
      <c r="T164" s="271">
        <v>34.68</v>
      </c>
      <c r="U164" s="271">
        <v>35.53</v>
      </c>
      <c r="V164" s="271">
        <v>35.82</v>
      </c>
      <c r="W164" s="271">
        <v>35.67</v>
      </c>
      <c r="X164" s="271">
        <v>35.9</v>
      </c>
      <c r="Y164" s="271">
        <v>35.950000000000003</v>
      </c>
      <c r="Z164" s="273">
        <f ca="1">[1]ExtEntry!$G63</f>
        <v>35.950000000000003</v>
      </c>
      <c r="AA164" s="298"/>
      <c r="AB164" s="281">
        <v>4.0990582521396632</v>
      </c>
      <c r="AC164" s="281">
        <v>0.76333703264895991</v>
      </c>
      <c r="AD164" s="281">
        <v>0.50966455468679783</v>
      </c>
      <c r="AE164" s="281">
        <v>0.66395591803720677</v>
      </c>
      <c r="AF164" s="281">
        <v>0.66395591803720677</v>
      </c>
      <c r="AG164" s="281">
        <v>0.6012889611625668</v>
      </c>
      <c r="AH164" s="281">
        <v>0.87147175763151841</v>
      </c>
      <c r="AI164" s="281">
        <v>0.83453761815573002</v>
      </c>
      <c r="AJ164" s="281">
        <v>0.49330149716055754</v>
      </c>
      <c r="AK164" s="281">
        <v>0.45788029449395073</v>
      </c>
      <c r="AL164" s="281">
        <v>0.37641090472948879</v>
      </c>
      <c r="AM164" s="281">
        <v>0.55921342669130281</v>
      </c>
      <c r="AN164" s="281">
        <v>0.47556275594388259</v>
      </c>
      <c r="AO164" s="281">
        <v>0.45399060634834509</v>
      </c>
      <c r="AP164" s="281">
        <v>0.96372079134142896</v>
      </c>
      <c r="AQ164" s="281">
        <v>1.5847480188693932</v>
      </c>
      <c r="AR164" s="281">
        <v>0.87788244499954859</v>
      </c>
      <c r="AS164" s="281">
        <v>0.92589668849594475</v>
      </c>
      <c r="AT164" s="281">
        <v>1.0270613714052867</v>
      </c>
      <c r="AU164" s="281">
        <v>0.95258558395808868</v>
      </c>
      <c r="AV164" s="281">
        <f ca="1">Calc!AY63</f>
        <v>0.95258558395808868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239.25</v>
      </c>
      <c r="G165" s="271">
        <v>239.6</v>
      </c>
      <c r="H165" s="271">
        <v>237.7</v>
      </c>
      <c r="I165" s="271">
        <v>237.35</v>
      </c>
      <c r="J165" s="271">
        <v>237.35</v>
      </c>
      <c r="K165" s="271">
        <v>233.4</v>
      </c>
      <c r="L165" s="271">
        <v>231.7</v>
      </c>
      <c r="M165" s="271">
        <v>231.85</v>
      </c>
      <c r="N165" s="271">
        <v>231</v>
      </c>
      <c r="O165" s="271">
        <v>236.75</v>
      </c>
      <c r="P165" s="271">
        <v>232.5</v>
      </c>
      <c r="Q165" s="271">
        <v>232.4</v>
      </c>
      <c r="R165" s="271">
        <v>230.15</v>
      </c>
      <c r="S165" s="271">
        <v>231.9</v>
      </c>
      <c r="T165" s="271">
        <v>233.4</v>
      </c>
      <c r="U165" s="271">
        <v>229.45</v>
      </c>
      <c r="V165" s="271">
        <v>229.7</v>
      </c>
      <c r="W165" s="271">
        <v>235</v>
      </c>
      <c r="X165" s="271">
        <v>222</v>
      </c>
      <c r="Y165" s="271">
        <v>219.9</v>
      </c>
      <c r="Z165" s="273">
        <f ca="1">[1]ExtEntry!$G64</f>
        <v>219.9</v>
      </c>
      <c r="AA165" s="298"/>
      <c r="AB165" s="281">
        <v>0.78072285722429668</v>
      </c>
      <c r="AC165" s="281">
        <v>0.5099898110719685</v>
      </c>
      <c r="AD165" s="281">
        <v>0.36779622201557272</v>
      </c>
      <c r="AE165" s="281">
        <v>0.83068606087523766</v>
      </c>
      <c r="AF165" s="281">
        <v>0.83068606087523766</v>
      </c>
      <c r="AG165" s="281">
        <v>0.90107510536861746</v>
      </c>
      <c r="AH165" s="281">
        <v>0.56226513779923559</v>
      </c>
      <c r="AI165" s="281">
        <v>1.4806987192382486</v>
      </c>
      <c r="AJ165" s="281">
        <v>0.7830856731461483</v>
      </c>
      <c r="AK165" s="281">
        <v>0.32247948164146867</v>
      </c>
      <c r="AL165" s="281">
        <v>0.24495327255765234</v>
      </c>
      <c r="AM165" s="281">
        <v>0.59179528306518925</v>
      </c>
      <c r="AN165" s="281">
        <v>0.31933631305923271</v>
      </c>
      <c r="AO165" s="281">
        <v>0.18260460384077323</v>
      </c>
      <c r="AP165" s="281">
        <v>0.44783490863982517</v>
      </c>
      <c r="AQ165" s="281">
        <v>1.1329651039080786</v>
      </c>
      <c r="AR165" s="281">
        <v>0.90354393869574867</v>
      </c>
      <c r="AS165" s="281">
        <v>2.2177570889273652</v>
      </c>
      <c r="AT165" s="281">
        <v>1.6697909619807874</v>
      </c>
      <c r="AU165" s="281">
        <v>1.0463940754867882</v>
      </c>
      <c r="AV165" s="285">
        <f ca="1">Calc!AY64</f>
        <v>1.0463940754867882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37.65</v>
      </c>
      <c r="G166" s="271">
        <v>37.549999999999997</v>
      </c>
      <c r="H166" s="271">
        <v>37.6</v>
      </c>
      <c r="I166" s="271">
        <v>37.799999999999997</v>
      </c>
      <c r="J166" s="271">
        <v>37.799999999999997</v>
      </c>
      <c r="K166" s="271">
        <v>37.549999999999997</v>
      </c>
      <c r="L166" s="271">
        <v>37.35</v>
      </c>
      <c r="M166" s="271">
        <v>37.65</v>
      </c>
      <c r="N166" s="271">
        <v>37.4</v>
      </c>
      <c r="O166" s="271">
        <v>37.700000000000003</v>
      </c>
      <c r="P166" s="271">
        <v>36.950000000000003</v>
      </c>
      <c r="Q166" s="271">
        <v>36.15</v>
      </c>
      <c r="R166" s="271">
        <v>35.549999999999997</v>
      </c>
      <c r="S166" s="271">
        <v>36.049999999999997</v>
      </c>
      <c r="T166" s="271">
        <v>36.25</v>
      </c>
      <c r="U166" s="271">
        <v>35.5</v>
      </c>
      <c r="V166" s="271">
        <v>35.450000000000003</v>
      </c>
      <c r="W166" s="271">
        <v>35.700000000000003</v>
      </c>
      <c r="X166" s="271">
        <v>37.049999999999997</v>
      </c>
      <c r="Y166" s="271">
        <v>35.5</v>
      </c>
      <c r="Z166" s="273">
        <f ca="1">[1]ExtEntry!$G65</f>
        <v>35.5</v>
      </c>
      <c r="AA166" s="298"/>
      <c r="AB166" s="281">
        <v>1.5817223198594025E-2</v>
      </c>
      <c r="AC166" s="281">
        <v>1.7064846416382253E-3</v>
      </c>
      <c r="AD166" s="281">
        <v>3.9447731755424062E-4</v>
      </c>
      <c r="AE166" s="281">
        <v>8.9546351084812625E-2</v>
      </c>
      <c r="AF166" s="281">
        <v>8.9546351084812625E-2</v>
      </c>
      <c r="AG166" s="281">
        <v>5.0000000000000001E-3</v>
      </c>
      <c r="AH166" s="281">
        <v>2.8212290502793298E-2</v>
      </c>
      <c r="AI166" s="281">
        <v>3.0726256983240222E-2</v>
      </c>
      <c r="AJ166" s="281">
        <v>1.1212121212121211E-2</v>
      </c>
      <c r="AK166" s="281">
        <v>2.2699386503067485E-2</v>
      </c>
      <c r="AL166" s="281">
        <v>5.5555555555555558E-3</v>
      </c>
      <c r="AM166" s="281">
        <v>9.5238095238095247E-3</v>
      </c>
      <c r="AN166" s="281">
        <v>8.4920634920634924E-2</v>
      </c>
      <c r="AO166" s="281">
        <v>2.6717557251908396E-2</v>
      </c>
      <c r="AP166" s="281">
        <v>4.9615205435798067E-3</v>
      </c>
      <c r="AQ166" s="281">
        <v>5.2317880794701989E-2</v>
      </c>
      <c r="AR166" s="281">
        <v>1.8543046357615896E-2</v>
      </c>
      <c r="AS166" s="281">
        <v>3.793103448275862E-2</v>
      </c>
      <c r="AT166" s="281">
        <v>3.8571428571428569E-2</v>
      </c>
      <c r="AU166" s="281">
        <v>0.13715846994535519</v>
      </c>
      <c r="AV166" s="281">
        <f ca="1">Calc!AY65</f>
        <v>0.13715846994535519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234.13</v>
      </c>
      <c r="G167" s="271">
        <v>233.98</v>
      </c>
      <c r="H167" s="271">
        <v>231.72</v>
      </c>
      <c r="I167" s="271">
        <v>231.3</v>
      </c>
      <c r="J167" s="271">
        <v>231.3</v>
      </c>
      <c r="K167" s="271">
        <v>229.98</v>
      </c>
      <c r="L167" s="271">
        <v>226.48</v>
      </c>
      <c r="M167" s="271">
        <v>226.87</v>
      </c>
      <c r="N167" s="271">
        <v>228.61</v>
      </c>
      <c r="O167" s="271">
        <v>230.81</v>
      </c>
      <c r="P167" s="271">
        <v>232.51</v>
      </c>
      <c r="Q167" s="271">
        <v>229.49</v>
      </c>
      <c r="R167" s="271">
        <v>237.12</v>
      </c>
      <c r="S167" s="271">
        <v>237.21</v>
      </c>
      <c r="T167" s="271">
        <v>238.45</v>
      </c>
      <c r="U167" s="271">
        <v>239.3</v>
      </c>
      <c r="V167" s="271">
        <v>237</v>
      </c>
      <c r="W167" s="271">
        <v>232.185</v>
      </c>
      <c r="X167" s="271">
        <v>226.75</v>
      </c>
      <c r="Y167" s="271">
        <v>229.22</v>
      </c>
      <c r="Z167" s="273">
        <f ca="1">[1]ExtEntry!$G66</f>
        <v>229.22</v>
      </c>
      <c r="AA167" s="298"/>
      <c r="AB167" s="281">
        <v>0.4679899058793876</v>
      </c>
      <c r="AC167" s="281">
        <v>0.28061842912001222</v>
      </c>
      <c r="AD167" s="281">
        <v>0.16991898993026117</v>
      </c>
      <c r="AE167" s="281">
        <v>0.43683329912743851</v>
      </c>
      <c r="AF167" s="281">
        <v>0.43683329912743851</v>
      </c>
      <c r="AG167" s="281">
        <v>0.70286736807757599</v>
      </c>
      <c r="AH167" s="281">
        <v>0.52635814402176995</v>
      </c>
      <c r="AI167" s="281">
        <v>0.93946029689000499</v>
      </c>
      <c r="AJ167" s="281">
        <v>0.51678701197535704</v>
      </c>
      <c r="AK167" s="281">
        <v>0.17646069972031245</v>
      </c>
      <c r="AL167" s="281">
        <v>0.69013040097861644</v>
      </c>
      <c r="AM167" s="281">
        <v>0.27741244512504371</v>
      </c>
      <c r="AN167" s="281">
        <v>0.31137574114550354</v>
      </c>
      <c r="AO167" s="281">
        <v>2.3413980136663274E-3</v>
      </c>
      <c r="AP167" s="281">
        <v>4.020666610004351E-2</v>
      </c>
      <c r="AQ167" s="281">
        <v>0.85297133792161239</v>
      </c>
      <c r="AR167" s="281">
        <v>1.1892945151637973</v>
      </c>
      <c r="AS167" s="281">
        <v>1.5235630371976872</v>
      </c>
      <c r="AT167" s="281">
        <v>0.72083341423062686</v>
      </c>
      <c r="AU167" s="281">
        <v>1.0247636500725472</v>
      </c>
      <c r="AV167" s="285">
        <f ca="1">Calc!AY66</f>
        <v>1.0247636500725472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227.21</v>
      </c>
      <c r="G168" s="271">
        <v>232.5</v>
      </c>
      <c r="H168" s="271">
        <v>230.12</v>
      </c>
      <c r="I168" s="271">
        <v>230.02</v>
      </c>
      <c r="J168" s="271">
        <v>230.02</v>
      </c>
      <c r="K168" s="271">
        <v>227.12</v>
      </c>
      <c r="L168" s="271">
        <v>227.35</v>
      </c>
      <c r="M168" s="271">
        <v>227.11</v>
      </c>
      <c r="N168" s="271">
        <v>228.57</v>
      </c>
      <c r="O168" s="271">
        <v>229.25</v>
      </c>
      <c r="P168" s="271">
        <v>231.32</v>
      </c>
      <c r="Q168" s="271">
        <v>223.49</v>
      </c>
      <c r="R168" s="271">
        <v>225.24</v>
      </c>
      <c r="S168" s="271">
        <v>225.21</v>
      </c>
      <c r="T168" s="271">
        <v>231.185</v>
      </c>
      <c r="U168" s="271">
        <v>234.94</v>
      </c>
      <c r="V168" s="271">
        <v>236.35499999999999</v>
      </c>
      <c r="W168" s="271">
        <v>237.51499999999999</v>
      </c>
      <c r="X168" s="271">
        <v>231.3</v>
      </c>
      <c r="Y168" s="271">
        <v>230.35</v>
      </c>
      <c r="Z168" s="273">
        <f ca="1">[1]ExtEntry!$G67</f>
        <v>230.35</v>
      </c>
      <c r="AA168" s="298"/>
      <c r="AB168" s="281">
        <v>0.70713625779696143</v>
      </c>
      <c r="AC168" s="281">
        <v>0.38362890804336008</v>
      </c>
      <c r="AD168" s="281">
        <v>0.15483224208875973</v>
      </c>
      <c r="AE168" s="281">
        <v>0.44849513243609918</v>
      </c>
      <c r="AF168" s="281">
        <v>0.44849513243609918</v>
      </c>
      <c r="AG168" s="281">
        <v>0.81048413352970516</v>
      </c>
      <c r="AH168" s="281">
        <v>0.50290506745258701</v>
      </c>
      <c r="AI168" s="281">
        <v>0.58895002795524032</v>
      </c>
      <c r="AJ168" s="281">
        <v>0.48410985531309975</v>
      </c>
      <c r="AK168" s="281">
        <v>0.2346939643978441</v>
      </c>
      <c r="AL168" s="281">
        <v>0.61058476459960742</v>
      </c>
      <c r="AM168" s="281">
        <v>0.37351943849781039</v>
      </c>
      <c r="AN168" s="281">
        <v>0.13814743024887682</v>
      </c>
      <c r="AO168" s="281">
        <v>4.1147407079411688E-3</v>
      </c>
      <c r="AP168" s="281">
        <v>1.1339682774585313E-2</v>
      </c>
      <c r="AQ168" s="281">
        <v>0.81361038137375519</v>
      </c>
      <c r="AR168" s="281">
        <v>0.70291640076545991</v>
      </c>
      <c r="AS168" s="281">
        <v>1.68376874279347</v>
      </c>
      <c r="AT168" s="281">
        <v>0.7962533007781265</v>
      </c>
      <c r="AU168" s="281">
        <v>1.0710485466714732</v>
      </c>
      <c r="AV168" s="281">
        <f ca="1">Calc!AY67</f>
        <v>1.0710485466714732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646.29999999999995</v>
      </c>
      <c r="G169" s="271">
        <v>634.9</v>
      </c>
      <c r="H169" s="271">
        <v>634.20000000000005</v>
      </c>
      <c r="I169" s="271">
        <v>642</v>
      </c>
      <c r="J169" s="271">
        <v>642</v>
      </c>
      <c r="K169" s="271">
        <v>638.6</v>
      </c>
      <c r="L169" s="271">
        <v>647.5</v>
      </c>
      <c r="M169" s="271">
        <v>649</v>
      </c>
      <c r="N169" s="271">
        <v>652.5</v>
      </c>
      <c r="O169" s="271">
        <v>660.1</v>
      </c>
      <c r="P169" s="271">
        <v>626.6</v>
      </c>
      <c r="Q169" s="271">
        <v>630</v>
      </c>
      <c r="R169" s="271">
        <v>630.5</v>
      </c>
      <c r="S169" s="271">
        <v>628.9</v>
      </c>
      <c r="T169" s="271">
        <v>660</v>
      </c>
      <c r="U169" s="271">
        <v>667.2</v>
      </c>
      <c r="V169" s="271">
        <v>680</v>
      </c>
      <c r="W169" s="271">
        <v>691.2</v>
      </c>
      <c r="X169" s="271">
        <v>680.2</v>
      </c>
      <c r="Y169" s="271">
        <v>688</v>
      </c>
      <c r="Z169" s="273">
        <f ca="1">[1]ExtEntry!$G68</f>
        <v>688</v>
      </c>
      <c r="AA169" s="298"/>
      <c r="AB169" s="281">
        <v>0.71792505242029425</v>
      </c>
      <c r="AC169" s="281">
        <v>0.7052555080915327</v>
      </c>
      <c r="AD169" s="281">
        <v>0.28683488065050194</v>
      </c>
      <c r="AE169" s="281">
        <v>0.82412976507324431</v>
      </c>
      <c r="AF169" s="281">
        <v>0.82412976507324431</v>
      </c>
      <c r="AG169" s="281">
        <v>1.0634705382991227</v>
      </c>
      <c r="AH169" s="281">
        <v>0.66257488690548971</v>
      </c>
      <c r="AI169" s="281">
        <v>1.700457268614745</v>
      </c>
      <c r="AJ169" s="281">
        <v>1.2861401943753228</v>
      </c>
      <c r="AK169" s="281">
        <v>0.75450490633363065</v>
      </c>
      <c r="AL169" s="281">
        <v>0.35704206423867757</v>
      </c>
      <c r="AM169" s="281">
        <v>0.985609013125476</v>
      </c>
      <c r="AN169" s="281">
        <v>0.52539703994052844</v>
      </c>
      <c r="AO169" s="281">
        <v>0.23364497896391995</v>
      </c>
      <c r="AP169" s="281">
        <v>1.5069574505666712</v>
      </c>
      <c r="AQ169" s="281">
        <v>0.93300016325938284</v>
      </c>
      <c r="AR169" s="281">
        <v>0.90375677979937241</v>
      </c>
      <c r="AS169" s="281">
        <v>0.98586385550838307</v>
      </c>
      <c r="AT169" s="281">
        <v>0.90397747715334242</v>
      </c>
      <c r="AU169" s="281">
        <v>0.79148683855897939</v>
      </c>
      <c r="AV169" s="285">
        <f ca="1">Calc!AY68</f>
        <v>0.79148683855897939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2.25</v>
      </c>
      <c r="G170" s="271">
        <v>2.12</v>
      </c>
      <c r="H170" s="271">
        <v>2.0350000000000001</v>
      </c>
      <c r="I170" s="271">
        <v>2.0699999999999998</v>
      </c>
      <c r="J170" s="271">
        <v>2.0699999999999998</v>
      </c>
      <c r="K170" s="271">
        <v>1.94</v>
      </c>
      <c r="L170" s="271">
        <v>2.09</v>
      </c>
      <c r="M170" s="271">
        <v>2.1800000000000002</v>
      </c>
      <c r="N170" s="271">
        <v>2.23</v>
      </c>
      <c r="O170" s="271">
        <v>2.5499999999999998</v>
      </c>
      <c r="P170" s="271">
        <v>2.41</v>
      </c>
      <c r="Q170" s="271">
        <v>2.2599999999999998</v>
      </c>
      <c r="R170" s="271">
        <v>2.17</v>
      </c>
      <c r="S170" s="271">
        <v>2.1800000000000002</v>
      </c>
      <c r="T170" s="271">
        <v>2.0499999999999998</v>
      </c>
      <c r="U170" s="271">
        <v>2.13</v>
      </c>
      <c r="V170" s="271">
        <v>2.15</v>
      </c>
      <c r="W170" s="271">
        <v>2.12</v>
      </c>
      <c r="X170" s="271">
        <v>2.1150000000000002</v>
      </c>
      <c r="Y170" s="271">
        <v>2.27</v>
      </c>
      <c r="Z170" s="273">
        <f ca="1">[1]ExtEntry!$G69</f>
        <v>2.27</v>
      </c>
      <c r="AA170" s="298"/>
      <c r="AB170" s="281">
        <v>0.78671885715491496</v>
      </c>
      <c r="AC170" s="281">
        <v>0.36411764463227542</v>
      </c>
      <c r="AD170" s="281">
        <v>0.72924701755660637</v>
      </c>
      <c r="AE170" s="281">
        <v>0.61550843947522571</v>
      </c>
      <c r="AF170" s="281">
        <v>0.61550843947522571</v>
      </c>
      <c r="AG170" s="281">
        <v>0.69298493061311872</v>
      </c>
      <c r="AH170" s="281">
        <v>0.7762405809497982</v>
      </c>
      <c r="AI170" s="281">
        <v>0.86746339258865013</v>
      </c>
      <c r="AJ170" s="281">
        <v>4.2009130025701653</v>
      </c>
      <c r="AK170" s="281">
        <v>0.49753824219458131</v>
      </c>
      <c r="AL170" s="281">
        <v>0.79509302521594627</v>
      </c>
      <c r="AM170" s="281">
        <v>0.26977852340416658</v>
      </c>
      <c r="AN170" s="281">
        <v>0.10678070165845611</v>
      </c>
      <c r="AO170" s="281">
        <v>2.6692776189329452E-4</v>
      </c>
      <c r="AP170" s="281">
        <v>3.8278273151273871E-3</v>
      </c>
      <c r="AQ170" s="281">
        <v>0.49203418326991388</v>
      </c>
      <c r="AR170" s="281">
        <v>0.44621445402582138</v>
      </c>
      <c r="AS170" s="281">
        <v>0.57053942844138039</v>
      </c>
      <c r="AT170" s="281">
        <v>0.59845534789912791</v>
      </c>
      <c r="AU170" s="281">
        <v>0.41372923122963995</v>
      </c>
      <c r="AV170" s="281">
        <f ca="1">Calc!AY69</f>
        <v>0.41372923122963995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115.51</v>
      </c>
      <c r="G171" s="271">
        <v>116.46</v>
      </c>
      <c r="H171" s="271">
        <v>115.28</v>
      </c>
      <c r="I171" s="271">
        <v>116.57</v>
      </c>
      <c r="J171" s="271">
        <v>116.57</v>
      </c>
      <c r="K171" s="271">
        <v>116.075</v>
      </c>
      <c r="L171" s="271">
        <v>118.49</v>
      </c>
      <c r="M171" s="271">
        <v>117.43</v>
      </c>
      <c r="N171" s="271">
        <v>117.53</v>
      </c>
      <c r="O171" s="271">
        <v>118.27</v>
      </c>
      <c r="P171" s="271">
        <v>117.39</v>
      </c>
      <c r="Q171" s="271">
        <v>117.08499999999999</v>
      </c>
      <c r="R171" s="271">
        <v>117.73</v>
      </c>
      <c r="S171" s="271">
        <v>117.83</v>
      </c>
      <c r="T171" s="271">
        <v>117.08</v>
      </c>
      <c r="U171" s="271">
        <v>117.96</v>
      </c>
      <c r="V171" s="271">
        <v>118.52500000000001</v>
      </c>
      <c r="W171" s="271">
        <v>116.85</v>
      </c>
      <c r="X171" s="271">
        <v>115.83</v>
      </c>
      <c r="Y171" s="271">
        <v>116.26</v>
      </c>
      <c r="Z171" s="273">
        <f ca="1">[1]ExtEntry!$G70</f>
        <v>116.26</v>
      </c>
      <c r="AA171" s="298"/>
      <c r="AB171" s="281">
        <v>0.33731415684842336</v>
      </c>
      <c r="AC171" s="281">
        <v>0.20328613530973949</v>
      </c>
      <c r="AD171" s="281">
        <v>0.1576234016599341</v>
      </c>
      <c r="AE171" s="281">
        <v>0.37223638482804283</v>
      </c>
      <c r="AF171" s="281">
        <v>0.37223638482804283</v>
      </c>
      <c r="AG171" s="281">
        <v>0.80347717293773435</v>
      </c>
      <c r="AH171" s="281">
        <v>0.65121161986432852</v>
      </c>
      <c r="AI171" s="281">
        <v>0.69754774772295691</v>
      </c>
      <c r="AJ171" s="281">
        <v>0.52746844325610676</v>
      </c>
      <c r="AK171" s="281">
        <v>0.17034596031438312</v>
      </c>
      <c r="AL171" s="281">
        <v>0.64673997567918673</v>
      </c>
      <c r="AM171" s="281">
        <v>0.25704034626650479</v>
      </c>
      <c r="AN171" s="281">
        <v>0.11059181488851004</v>
      </c>
      <c r="AO171" s="281">
        <v>2.0451080013860186E-4</v>
      </c>
      <c r="AP171" s="281">
        <v>1.3215920690724618E-3</v>
      </c>
      <c r="AQ171" s="281">
        <v>0.79403446429470648</v>
      </c>
      <c r="AR171" s="281">
        <v>0.66808947101549021</v>
      </c>
      <c r="AS171" s="281">
        <v>0.94726450484074964</v>
      </c>
      <c r="AT171" s="281">
        <v>0.9277372312825829</v>
      </c>
      <c r="AU171" s="281">
        <v>1.0857649478121689</v>
      </c>
      <c r="AV171" s="285">
        <f ca="1">Calc!AY70</f>
        <v>1.0857649478121689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55.84</v>
      </c>
      <c r="G172" s="271">
        <v>56.95</v>
      </c>
      <c r="H172" s="271">
        <v>56.19</v>
      </c>
      <c r="I172" s="271">
        <v>56.53</v>
      </c>
      <c r="J172" s="271">
        <v>56.53</v>
      </c>
      <c r="K172" s="271">
        <v>56.9</v>
      </c>
      <c r="L172" s="271">
        <v>58.2</v>
      </c>
      <c r="M172" s="271">
        <v>58.24</v>
      </c>
      <c r="N172" s="271">
        <v>58.56</v>
      </c>
      <c r="O172" s="271">
        <v>58.97</v>
      </c>
      <c r="P172" s="271">
        <v>58.48</v>
      </c>
      <c r="Q172" s="271">
        <v>57.56</v>
      </c>
      <c r="R172" s="271">
        <v>58.37</v>
      </c>
      <c r="S172" s="271">
        <v>58.12</v>
      </c>
      <c r="T172" s="271">
        <v>58</v>
      </c>
      <c r="U172" s="271">
        <v>58.13</v>
      </c>
      <c r="V172" s="271">
        <v>58.14</v>
      </c>
      <c r="W172" s="271">
        <v>57.88</v>
      </c>
      <c r="X172" s="271">
        <v>57.54</v>
      </c>
      <c r="Y172" s="271">
        <v>59.85</v>
      </c>
      <c r="Z172" s="273">
        <f ca="1">[1]ExtEntry!$G71</f>
        <v>59.85</v>
      </c>
      <c r="AA172" s="298"/>
      <c r="AB172" s="281">
        <v>0.33797311234895733</v>
      </c>
      <c r="AC172" s="281">
        <v>0.14609016408899619</v>
      </c>
      <c r="AD172" s="281">
        <v>0.10382371185609811</v>
      </c>
      <c r="AE172" s="281">
        <v>0.42049209921810227</v>
      </c>
      <c r="AF172" s="281">
        <v>0.42049209921810227</v>
      </c>
      <c r="AG172" s="281">
        <v>0.75456119727342963</v>
      </c>
      <c r="AH172" s="281">
        <v>0.40674324759823599</v>
      </c>
      <c r="AI172" s="281">
        <v>0.81419713358068746</v>
      </c>
      <c r="AJ172" s="281">
        <v>1.2447271476019435</v>
      </c>
      <c r="AK172" s="281">
        <v>0.31608927796861253</v>
      </c>
      <c r="AL172" s="281">
        <v>0.69786835844237005</v>
      </c>
      <c r="AM172" s="281">
        <v>0.34462062923218995</v>
      </c>
      <c r="AN172" s="281">
        <v>8.4474695315107873E-2</v>
      </c>
      <c r="AO172" s="281">
        <v>1.6335583698364795E-4</v>
      </c>
      <c r="AP172" s="281">
        <v>1.7652711169470375E-4</v>
      </c>
      <c r="AQ172" s="281">
        <v>0.96006443083176707</v>
      </c>
      <c r="AR172" s="281">
        <v>0.69972816521146342</v>
      </c>
      <c r="AS172" s="281">
        <v>1.118426782755372</v>
      </c>
      <c r="AT172" s="281">
        <v>0.6641187869319729</v>
      </c>
      <c r="AU172" s="281">
        <v>1.8756512069792939</v>
      </c>
      <c r="AV172" s="281">
        <f ca="1">Calc!AY71</f>
        <v>1.8756512069792939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385.2</v>
      </c>
      <c r="G173" s="271">
        <v>386.7</v>
      </c>
      <c r="H173" s="271">
        <v>387.1</v>
      </c>
      <c r="I173" s="271">
        <v>390</v>
      </c>
      <c r="J173" s="271">
        <v>390</v>
      </c>
      <c r="K173" s="271">
        <v>391.1</v>
      </c>
      <c r="L173" s="271">
        <v>384.8</v>
      </c>
      <c r="M173" s="271">
        <v>391.2</v>
      </c>
      <c r="N173" s="271">
        <v>393.2</v>
      </c>
      <c r="O173" s="271">
        <v>386</v>
      </c>
      <c r="P173" s="271">
        <v>383</v>
      </c>
      <c r="Q173" s="271">
        <v>392.6</v>
      </c>
      <c r="R173" s="271">
        <v>382.4</v>
      </c>
      <c r="S173" s="271">
        <v>388.4</v>
      </c>
      <c r="T173" s="271">
        <v>390.8</v>
      </c>
      <c r="U173" s="271">
        <v>391.4</v>
      </c>
      <c r="V173" s="271">
        <v>394.5</v>
      </c>
      <c r="W173" s="271">
        <v>398</v>
      </c>
      <c r="X173" s="271">
        <v>383.8</v>
      </c>
      <c r="Y173" s="271">
        <v>384.6</v>
      </c>
      <c r="Z173" s="273">
        <f ca="1">[1]ExtEntry!$G72</f>
        <v>384.6</v>
      </c>
      <c r="AA173" s="298"/>
      <c r="AB173" s="281">
        <v>0.53747939064945638</v>
      </c>
      <c r="AC173" s="281">
        <v>0.60155235467059598</v>
      </c>
      <c r="AD173" s="281">
        <v>0.28757699584518059</v>
      </c>
      <c r="AE173" s="281">
        <v>0.80987468355110748</v>
      </c>
      <c r="AF173" s="281">
        <v>0.80987468355110748</v>
      </c>
      <c r="AG173" s="281">
        <v>0.69844097589310827</v>
      </c>
      <c r="AH173" s="281">
        <v>1.1617358198821635</v>
      </c>
      <c r="AI173" s="281">
        <v>1.0879058704161344</v>
      </c>
      <c r="AJ173" s="281">
        <v>0.81844439656613455</v>
      </c>
      <c r="AK173" s="281">
        <v>0.66217371035025874</v>
      </c>
      <c r="AL173" s="281">
        <v>0.40212571833657701</v>
      </c>
      <c r="AM173" s="281">
        <v>1.4219396099513069</v>
      </c>
      <c r="AN173" s="281">
        <v>1.1771924334995709</v>
      </c>
      <c r="AO173" s="281">
        <v>0.88498494702146768</v>
      </c>
      <c r="AP173" s="281">
        <v>1.0950597870966425</v>
      </c>
      <c r="AQ173" s="281">
        <v>0.82028275429294772</v>
      </c>
      <c r="AR173" s="281">
        <v>1.2639292510486118</v>
      </c>
      <c r="AS173" s="281">
        <v>1.715447095367127</v>
      </c>
      <c r="AT173" s="281">
        <v>1.3660271939440694</v>
      </c>
      <c r="AU173" s="281">
        <v>0.78391580326449306</v>
      </c>
      <c r="AV173" s="285">
        <f ca="1">Calc!AY72</f>
        <v>0.78391580326449306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26.39</v>
      </c>
      <c r="G174" s="271">
        <v>26.97</v>
      </c>
      <c r="H174" s="271">
        <v>28.21</v>
      </c>
      <c r="I174" s="271">
        <v>28.15</v>
      </c>
      <c r="J174" s="271">
        <v>28.15</v>
      </c>
      <c r="K174" s="271">
        <v>27.72</v>
      </c>
      <c r="L174" s="271">
        <v>27.12</v>
      </c>
      <c r="M174" s="271">
        <v>25.35</v>
      </c>
      <c r="N174" s="271">
        <v>24.75</v>
      </c>
      <c r="O174" s="271">
        <v>25</v>
      </c>
      <c r="P174" s="271">
        <v>24.25</v>
      </c>
      <c r="Q174" s="271">
        <v>23.93</v>
      </c>
      <c r="R174" s="271">
        <v>24.16</v>
      </c>
      <c r="S174" s="271">
        <v>24.16</v>
      </c>
      <c r="T174" s="271">
        <v>23.81</v>
      </c>
      <c r="U174" s="271">
        <v>24.925000000000001</v>
      </c>
      <c r="V174" s="271">
        <v>24.91</v>
      </c>
      <c r="W174" s="271">
        <v>24.58</v>
      </c>
      <c r="X174" s="271">
        <v>24.5</v>
      </c>
      <c r="Y174" s="271">
        <v>25.225000000000001</v>
      </c>
      <c r="Z174" s="273">
        <f ca="1">[1]ExtEntry!$G73</f>
        <v>25.225000000000001</v>
      </c>
      <c r="AA174" s="298"/>
      <c r="AB174" s="281">
        <v>0.34449978011314769</v>
      </c>
      <c r="AC174" s="281">
        <v>0.42164780475709757</v>
      </c>
      <c r="AD174" s="281">
        <v>0.20438623820251334</v>
      </c>
      <c r="AE174" s="281">
        <v>0.45917745717090241</v>
      </c>
      <c r="AF174" s="281">
        <v>0.45917745717090241</v>
      </c>
      <c r="AG174" s="281">
        <v>0.8449611606454136</v>
      </c>
      <c r="AH174" s="281">
        <v>1.5870677817848939</v>
      </c>
      <c r="AI174" s="281">
        <v>1.5186185596857058</v>
      </c>
      <c r="AJ174" s="281">
        <v>2.1330878919755834</v>
      </c>
      <c r="AK174" s="281">
        <v>0.32081643976095614</v>
      </c>
      <c r="AL174" s="281">
        <v>0.91072045433611848</v>
      </c>
      <c r="AM174" s="281">
        <v>0.51706703697031831</v>
      </c>
      <c r="AN174" s="281">
        <v>0.2212461900004456</v>
      </c>
      <c r="AO174" s="281">
        <v>1.9077587603441046E-3</v>
      </c>
      <c r="AP174" s="281">
        <v>1.1136989713315341E-2</v>
      </c>
      <c r="AQ174" s="281">
        <v>1.3464524569419341</v>
      </c>
      <c r="AR174" s="281">
        <v>1.0189797105163452</v>
      </c>
      <c r="AS174" s="281">
        <v>0.85105480405334555</v>
      </c>
      <c r="AT174" s="281">
        <v>1.0143720492290433</v>
      </c>
      <c r="AU174" s="281">
        <v>3.179281276546623</v>
      </c>
      <c r="AV174" s="281">
        <f ca="1">Calc!AY73</f>
        <v>3.179281276546623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0.94</v>
      </c>
      <c r="G175" s="271">
        <v>0.94</v>
      </c>
      <c r="H175" s="271">
        <v>0.97</v>
      </c>
      <c r="I175" s="271">
        <v>0.98</v>
      </c>
      <c r="J175" s="271">
        <v>0.98</v>
      </c>
      <c r="K175" s="271">
        <v>0.92500000000000004</v>
      </c>
      <c r="L175" s="271">
        <v>1</v>
      </c>
      <c r="M175" s="271">
        <v>1</v>
      </c>
      <c r="N175" s="271">
        <v>1</v>
      </c>
      <c r="O175" s="271">
        <v>1.04</v>
      </c>
      <c r="P175" s="271">
        <v>1.22</v>
      </c>
      <c r="Q175" s="271">
        <v>1.1100000000000001</v>
      </c>
      <c r="R175" s="271">
        <v>1.1200000000000001</v>
      </c>
      <c r="S175" s="271">
        <v>1.1200000000000001</v>
      </c>
      <c r="T175" s="271">
        <v>1.0900000000000001</v>
      </c>
      <c r="U175" s="271">
        <v>1.1299999999999999</v>
      </c>
      <c r="V175" s="271">
        <v>1.1200000000000001</v>
      </c>
      <c r="W175" s="271">
        <v>1.1599999999999999</v>
      </c>
      <c r="X175" s="271">
        <v>1.1100000000000001</v>
      </c>
      <c r="Y175" s="271">
        <v>1.26</v>
      </c>
      <c r="Z175" s="273">
        <f ca="1">[1]ExtEntry!$G74</f>
        <v>1.26</v>
      </c>
      <c r="AA175" s="298"/>
      <c r="AB175" s="281">
        <v>0.31323465612847756</v>
      </c>
      <c r="AC175" s="281">
        <v>0.41164149142725509</v>
      </c>
      <c r="AD175" s="281">
        <v>0.71467171280670316</v>
      </c>
      <c r="AE175" s="281">
        <v>1.6397777328552523</v>
      </c>
      <c r="AF175" s="281">
        <v>1.6397777328552523</v>
      </c>
      <c r="AG175" s="281">
        <v>1.1545593649935397</v>
      </c>
      <c r="AH175" s="281">
        <v>0.86226109251372263</v>
      </c>
      <c r="AI175" s="281">
        <v>0.46098848553422989</v>
      </c>
      <c r="AJ175" s="281">
        <v>1.0313758141475007</v>
      </c>
      <c r="AK175" s="281">
        <v>0.36914044731259593</v>
      </c>
      <c r="AL175" s="281">
        <v>2.1227087187924649</v>
      </c>
      <c r="AM175" s="281">
        <v>0.83538250057985264</v>
      </c>
      <c r="AN175" s="281">
        <v>0.1778139648945761</v>
      </c>
      <c r="AO175" s="281">
        <v>1.8383682629184185E-4</v>
      </c>
      <c r="AP175" s="281">
        <v>1.2581604406022649E-2</v>
      </c>
      <c r="AQ175" s="281">
        <v>0.92074671035191702</v>
      </c>
      <c r="AR175" s="281">
        <v>0.85352872974658556</v>
      </c>
      <c r="AS175" s="281">
        <v>1.2284224153038983</v>
      </c>
      <c r="AT175" s="281">
        <v>1.5004634803073142</v>
      </c>
      <c r="AU175" s="281">
        <v>1.6077873897209047</v>
      </c>
      <c r="AV175" s="285">
        <f ca="1">Calc!AY74</f>
        <v>1.6077873897209047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14.97</v>
      </c>
      <c r="G176" s="271">
        <v>14.97</v>
      </c>
      <c r="H176" s="271">
        <v>15.05</v>
      </c>
      <c r="I176" s="271">
        <v>14.94</v>
      </c>
      <c r="J176" s="271">
        <v>14.94</v>
      </c>
      <c r="K176" s="271">
        <v>14.997999999999999</v>
      </c>
      <c r="L176" s="271">
        <v>15.26</v>
      </c>
      <c r="M176" s="271">
        <v>15.268000000000001</v>
      </c>
      <c r="N176" s="271">
        <v>15.2</v>
      </c>
      <c r="O176" s="271">
        <v>15.22</v>
      </c>
      <c r="P176" s="271">
        <v>15.302</v>
      </c>
      <c r="Q176" s="271">
        <v>15.247999999999999</v>
      </c>
      <c r="R176" s="271">
        <v>15.238</v>
      </c>
      <c r="S176" s="271">
        <v>14.85</v>
      </c>
      <c r="T176" s="271">
        <v>14.968</v>
      </c>
      <c r="U176" s="271">
        <v>14.74</v>
      </c>
      <c r="V176" s="271">
        <v>14.752000000000001</v>
      </c>
      <c r="W176" s="271">
        <v>14.94</v>
      </c>
      <c r="X176" s="271">
        <v>15.04</v>
      </c>
      <c r="Y176" s="271">
        <v>14.83</v>
      </c>
      <c r="Z176" s="273">
        <f ca="1">[1]ExtEntry!$G75</f>
        <v>14.83</v>
      </c>
      <c r="AA176" s="298"/>
      <c r="AB176" s="281">
        <v>0.76283516724753764</v>
      </c>
      <c r="AC176" s="281">
        <v>0.81830051450786889</v>
      </c>
      <c r="AD176" s="281">
        <v>0.65624612826636142</v>
      </c>
      <c r="AE176" s="281">
        <v>0.90400322865163496</v>
      </c>
      <c r="AF176" s="281">
        <v>0.90400322865163496</v>
      </c>
      <c r="AG176" s="281">
        <v>0.88657529501228449</v>
      </c>
      <c r="AH176" s="281">
        <v>0.83114985019452348</v>
      </c>
      <c r="AI176" s="281">
        <v>2.5963221886008716</v>
      </c>
      <c r="AJ176" s="281">
        <v>0.71656676134386665</v>
      </c>
      <c r="AK176" s="281">
        <v>0.4980142411923974</v>
      </c>
      <c r="AL176" s="281">
        <v>0.62070841725548453</v>
      </c>
      <c r="AM176" s="281">
        <v>0.93056763905579531</v>
      </c>
      <c r="AN176" s="281">
        <v>0.87759269696953734</v>
      </c>
      <c r="AO176" s="281">
        <v>0.29056376413125778</v>
      </c>
      <c r="AP176" s="281">
        <v>0.56777200557890406</v>
      </c>
      <c r="AQ176" s="281">
        <v>0.72850047327483325</v>
      </c>
      <c r="AR176" s="281">
        <v>1.0210709542927034</v>
      </c>
      <c r="AS176" s="281">
        <v>0.60912935613972907</v>
      </c>
      <c r="AT176" s="281">
        <v>0.79638124352803508</v>
      </c>
      <c r="AU176" s="281">
        <v>0.73234913528008072</v>
      </c>
      <c r="AV176" s="281">
        <f ca="1">Calc!AY75</f>
        <v>0.73234913528008072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506</v>
      </c>
      <c r="G177" s="271">
        <v>513.4</v>
      </c>
      <c r="H177" s="271">
        <v>515.6</v>
      </c>
      <c r="I177" s="271">
        <v>512.6</v>
      </c>
      <c r="J177" s="271">
        <v>512.6</v>
      </c>
      <c r="K177" s="271">
        <v>516.20000000000005</v>
      </c>
      <c r="L177" s="271">
        <v>502.8</v>
      </c>
      <c r="M177" s="271">
        <v>512.6</v>
      </c>
      <c r="N177" s="271">
        <v>507.2</v>
      </c>
      <c r="O177" s="271">
        <v>492</v>
      </c>
      <c r="P177" s="271">
        <v>492</v>
      </c>
      <c r="Q177" s="271">
        <v>490</v>
      </c>
      <c r="R177" s="271">
        <v>478</v>
      </c>
      <c r="S177" s="271">
        <v>468.4</v>
      </c>
      <c r="T177" s="271">
        <v>468</v>
      </c>
      <c r="U177" s="271">
        <v>468</v>
      </c>
      <c r="V177" s="271">
        <v>470</v>
      </c>
      <c r="W177" s="271">
        <v>471.5</v>
      </c>
      <c r="X177" s="271">
        <v>462.3</v>
      </c>
      <c r="Y177" s="271">
        <v>468.5</v>
      </c>
      <c r="Z177" s="273">
        <f ca="1">[1]ExtEntry!$G76</f>
        <v>468.5</v>
      </c>
      <c r="AA177" s="298"/>
      <c r="AB177" s="281">
        <v>0.44424440758506301</v>
      </c>
      <c r="AC177" s="281">
        <v>0.33159073848449205</v>
      </c>
      <c r="AD177" s="281">
        <v>0.16816017151047724</v>
      </c>
      <c r="AE177" s="281">
        <v>0.48086266623067864</v>
      </c>
      <c r="AF177" s="281">
        <v>0.48086266623067864</v>
      </c>
      <c r="AG177" s="281">
        <v>0.60844750392919178</v>
      </c>
      <c r="AH177" s="281">
        <v>1.0747278260442743</v>
      </c>
      <c r="AI177" s="281">
        <v>0.80941442104746475</v>
      </c>
      <c r="AJ177" s="281">
        <v>2.9701763759719046</v>
      </c>
      <c r="AK177" s="281">
        <v>1.8740973880327039</v>
      </c>
      <c r="AL177" s="281">
        <v>0.28344284684089455</v>
      </c>
      <c r="AM177" s="281">
        <v>0.99427924534382939</v>
      </c>
      <c r="AN177" s="281">
        <v>0.57244193700806478</v>
      </c>
      <c r="AO177" s="281">
        <v>1.3418982176412377</v>
      </c>
      <c r="AP177" s="281">
        <v>1.0441882463873566</v>
      </c>
      <c r="AQ177" s="281">
        <v>0.6556529426318044</v>
      </c>
      <c r="AR177" s="281">
        <v>0.87460792063674053</v>
      </c>
      <c r="AS177" s="281">
        <v>3.622895483856853</v>
      </c>
      <c r="AT177" s="281">
        <v>0.64076424815132083</v>
      </c>
      <c r="AU177" s="281">
        <v>0.65377659574468083</v>
      </c>
      <c r="AV177" s="285">
        <f ca="1">Calc!AY76</f>
        <v>0.65377659574468083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11.31</v>
      </c>
      <c r="G178" s="271">
        <v>11.43</v>
      </c>
      <c r="H178" s="271">
        <v>11.41</v>
      </c>
      <c r="I178" s="271">
        <v>11.49</v>
      </c>
      <c r="J178" s="271">
        <v>11.49</v>
      </c>
      <c r="K178" s="271">
        <v>11.52</v>
      </c>
      <c r="L178" s="271">
        <v>11.72</v>
      </c>
      <c r="M178" s="271">
        <v>11.81</v>
      </c>
      <c r="N178" s="271">
        <v>11.82</v>
      </c>
      <c r="O178" s="271">
        <v>11.984999999999999</v>
      </c>
      <c r="P178" s="271">
        <v>11.74</v>
      </c>
      <c r="Q178" s="271">
        <v>11.73</v>
      </c>
      <c r="R178" s="271">
        <v>11.68</v>
      </c>
      <c r="S178" s="271">
        <v>11.67</v>
      </c>
      <c r="T178" s="271">
        <v>11.65</v>
      </c>
      <c r="U178" s="271">
        <v>11.75</v>
      </c>
      <c r="V178" s="271">
        <v>11.67</v>
      </c>
      <c r="W178" s="271">
        <v>11.49</v>
      </c>
      <c r="X178" s="271">
        <v>11.46</v>
      </c>
      <c r="Y178" s="271">
        <v>11.754</v>
      </c>
      <c r="Z178" s="273">
        <f ca="1">[1]ExtEntry!$G77</f>
        <v>11.754</v>
      </c>
      <c r="AA178" s="298"/>
      <c r="AB178" s="281">
        <v>0.41642111624514222</v>
      </c>
      <c r="AC178" s="281">
        <v>0.20703359842774433</v>
      </c>
      <c r="AD178" s="281">
        <v>0.10054153835266881</v>
      </c>
      <c r="AE178" s="281">
        <v>0.74126221014384619</v>
      </c>
      <c r="AF178" s="281">
        <v>0.74126221014384619</v>
      </c>
      <c r="AG178" s="281">
        <v>0.70227964444656399</v>
      </c>
      <c r="AH178" s="281">
        <v>0.71812038580614435</v>
      </c>
      <c r="AI178" s="281">
        <v>0.78795977330949696</v>
      </c>
      <c r="AJ178" s="281">
        <v>0.66731379653024459</v>
      </c>
      <c r="AK178" s="281">
        <v>0.29554510414445412</v>
      </c>
      <c r="AL178" s="281">
        <v>0.7585096381001285</v>
      </c>
      <c r="AM178" s="281">
        <v>0.47108536307174786</v>
      </c>
      <c r="AN178" s="281">
        <v>0.10473711813979993</v>
      </c>
      <c r="AO178" s="281">
        <v>3.457533410962679E-4</v>
      </c>
      <c r="AP178" s="281">
        <v>2.2243500640479036E-3</v>
      </c>
      <c r="AQ178" s="281">
        <v>0.73871685519955099</v>
      </c>
      <c r="AR178" s="281">
        <v>0.78328996176442911</v>
      </c>
      <c r="AS178" s="281">
        <v>0.90778815340093599</v>
      </c>
      <c r="AT178" s="281">
        <v>1.097043392723712</v>
      </c>
      <c r="AU178" s="281">
        <v>0.97213522762766735</v>
      </c>
      <c r="AV178" s="281">
        <f ca="1">Calc!AY77</f>
        <v>0.97213522762766735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57.7</v>
      </c>
      <c r="G179" s="271">
        <v>58.88</v>
      </c>
      <c r="H179" s="271">
        <v>58.6</v>
      </c>
      <c r="I179" s="271">
        <v>58</v>
      </c>
      <c r="J179" s="271">
        <v>58</v>
      </c>
      <c r="K179" s="271">
        <v>58.04</v>
      </c>
      <c r="L179" s="271">
        <v>57.66</v>
      </c>
      <c r="M179" s="271">
        <v>53</v>
      </c>
      <c r="N179" s="271">
        <v>52.12</v>
      </c>
      <c r="O179" s="271">
        <v>52.34</v>
      </c>
      <c r="P179" s="271">
        <v>53.16</v>
      </c>
      <c r="Q179" s="271">
        <v>53.28</v>
      </c>
      <c r="R179" s="271">
        <v>52.5</v>
      </c>
      <c r="S179" s="271">
        <v>52.64</v>
      </c>
      <c r="T179" s="271">
        <v>54.36</v>
      </c>
      <c r="U179" s="271">
        <v>53.26</v>
      </c>
      <c r="V179" s="271">
        <v>53.82</v>
      </c>
      <c r="W179" s="271">
        <v>54.54</v>
      </c>
      <c r="X179" s="271">
        <v>56.18</v>
      </c>
      <c r="Y179" s="271">
        <v>57.8</v>
      </c>
      <c r="Z179" s="273">
        <f ca="1">[1]ExtEntry!$G78</f>
        <v>57.8</v>
      </c>
      <c r="AA179" s="298"/>
      <c r="AB179" s="281">
        <v>0.65746305812063766</v>
      </c>
      <c r="AC179" s="281">
        <v>0.37567006549881488</v>
      </c>
      <c r="AD179" s="281">
        <v>0.45723330820336427</v>
      </c>
      <c r="AE179" s="281">
        <v>0.620553762427555</v>
      </c>
      <c r="AF179" s="281">
        <v>0.620553762427555</v>
      </c>
      <c r="AG179" s="281">
        <v>0.99273933740443332</v>
      </c>
      <c r="AH179" s="281">
        <v>1.7956747053244817</v>
      </c>
      <c r="AI179" s="281">
        <v>5.5957431242379085</v>
      </c>
      <c r="AJ179" s="281">
        <v>1.632206932898717</v>
      </c>
      <c r="AK179" s="281">
        <v>0.62137488761830528</v>
      </c>
      <c r="AL179" s="281">
        <v>0.51589308716993465</v>
      </c>
      <c r="AM179" s="281">
        <v>0.73655834425570754</v>
      </c>
      <c r="AN179" s="281">
        <v>0.42302476089501467</v>
      </c>
      <c r="AO179" s="281">
        <v>0.3018495620636566</v>
      </c>
      <c r="AP179" s="281">
        <v>0.34564023991472437</v>
      </c>
      <c r="AQ179" s="281">
        <v>0.72348552698978352</v>
      </c>
      <c r="AR179" s="281">
        <v>0.800329967663169</v>
      </c>
      <c r="AS179" s="281">
        <v>0.88331075231665701</v>
      </c>
      <c r="AT179" s="281">
        <v>0.93449053349213518</v>
      </c>
      <c r="AU179" s="281">
        <v>0.67086524117354551</v>
      </c>
      <c r="AV179" s="285">
        <f ca="1">Calc!AY78</f>
        <v>0.67086524117354551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200.3</v>
      </c>
      <c r="G180" s="271">
        <v>199</v>
      </c>
      <c r="H180" s="271">
        <v>198.84</v>
      </c>
      <c r="I180" s="271">
        <v>198.63</v>
      </c>
      <c r="J180" s="271">
        <v>198.63</v>
      </c>
      <c r="K180" s="271">
        <v>197.11</v>
      </c>
      <c r="L180" s="271">
        <v>194.45</v>
      </c>
      <c r="M180" s="271">
        <v>189.7</v>
      </c>
      <c r="N180" s="271">
        <v>187.66</v>
      </c>
      <c r="O180" s="271">
        <v>187.77500000000001</v>
      </c>
      <c r="P180" s="271">
        <v>186.55</v>
      </c>
      <c r="Q180" s="271">
        <v>182.535</v>
      </c>
      <c r="R180" s="271">
        <v>178.83</v>
      </c>
      <c r="S180" s="271">
        <v>178.76</v>
      </c>
      <c r="T180" s="271">
        <v>175.46</v>
      </c>
      <c r="U180" s="271">
        <v>181.22</v>
      </c>
      <c r="V180" s="271">
        <v>183.98</v>
      </c>
      <c r="W180" s="271">
        <v>183.09</v>
      </c>
      <c r="X180" s="271">
        <v>185.2</v>
      </c>
      <c r="Y180" s="271">
        <v>187.67</v>
      </c>
      <c r="Z180" s="273">
        <f ca="1">[1]ExtEntry!$G79</f>
        <v>187.67</v>
      </c>
      <c r="AA180" s="298"/>
      <c r="AB180" s="281">
        <v>0.2033848217801251</v>
      </c>
      <c r="AC180" s="281">
        <v>0.14946222837821735</v>
      </c>
      <c r="AD180" s="281">
        <v>7.8199426333673952E-2</v>
      </c>
      <c r="AE180" s="281">
        <v>0.40364024366520951</v>
      </c>
      <c r="AF180" s="281">
        <v>0.40364024366520951</v>
      </c>
      <c r="AG180" s="281">
        <v>1.0162042567594474</v>
      </c>
      <c r="AH180" s="281">
        <v>0.51893812794021377</v>
      </c>
      <c r="AI180" s="281">
        <v>0.70091794372741179</v>
      </c>
      <c r="AJ180" s="281">
        <v>0.57633808041025603</v>
      </c>
      <c r="AK180" s="281">
        <v>6.1962325289369014E-2</v>
      </c>
      <c r="AL180" s="281">
        <v>0.69035527313618683</v>
      </c>
      <c r="AM180" s="281">
        <v>0.19229764430239307</v>
      </c>
      <c r="AN180" s="281">
        <v>6.2902981786194676E-2</v>
      </c>
      <c r="AO180" s="281">
        <v>3.3069411868777266E-6</v>
      </c>
      <c r="AP180" s="281">
        <v>4.3187904202461711E-4</v>
      </c>
      <c r="AQ180" s="281">
        <v>1.0033439938796274</v>
      </c>
      <c r="AR180" s="281">
        <v>0.90407534493839814</v>
      </c>
      <c r="AS180" s="281">
        <v>0.97964462438146649</v>
      </c>
      <c r="AT180" s="281">
        <v>1.5076842038521003</v>
      </c>
      <c r="AU180" s="281">
        <v>0.82360535940415402</v>
      </c>
      <c r="AV180" s="281">
        <f ca="1">Calc!AY79</f>
        <v>0.82360535940415402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739.64</v>
      </c>
      <c r="G181" s="271">
        <v>748.22</v>
      </c>
      <c r="H181" s="271">
        <v>729.21</v>
      </c>
      <c r="I181" s="271">
        <v>728.4</v>
      </c>
      <c r="J181" s="271">
        <v>728.4</v>
      </c>
      <c r="K181" s="271">
        <v>721.19500000000005</v>
      </c>
      <c r="L181" s="271">
        <v>741.89</v>
      </c>
      <c r="M181" s="271">
        <v>737.71</v>
      </c>
      <c r="N181" s="271">
        <v>745.97</v>
      </c>
      <c r="O181" s="271">
        <v>750.65499999999997</v>
      </c>
      <c r="P181" s="271">
        <v>746.71</v>
      </c>
      <c r="Q181" s="271">
        <v>734.49</v>
      </c>
      <c r="R181" s="271">
        <v>731.68</v>
      </c>
      <c r="S181" s="271">
        <v>728.56</v>
      </c>
      <c r="T181" s="271">
        <v>733.75</v>
      </c>
      <c r="U181" s="271">
        <v>739.42</v>
      </c>
      <c r="V181" s="271">
        <v>740.13</v>
      </c>
      <c r="W181" s="271">
        <v>761.86</v>
      </c>
      <c r="X181" s="271">
        <v>771.24</v>
      </c>
      <c r="Y181" s="271">
        <v>783.5</v>
      </c>
      <c r="Z181" s="273">
        <f ca="1">[1]ExtEntry!$G80</f>
        <v>783.5</v>
      </c>
      <c r="AA181" s="298"/>
      <c r="AB181" s="281">
        <v>0.26410225550412769</v>
      </c>
      <c r="AC181" s="281">
        <v>0.33635001215063082</v>
      </c>
      <c r="AD181" s="281">
        <v>0.12780720151078201</v>
      </c>
      <c r="AE181" s="281">
        <v>0.51602770479757987</v>
      </c>
      <c r="AF181" s="281">
        <v>0.51602770479757987</v>
      </c>
      <c r="AG181" s="281">
        <v>0.98005401307288098</v>
      </c>
      <c r="AH181" s="281">
        <v>0.75991942641112453</v>
      </c>
      <c r="AI181" s="281">
        <v>0.8336377563373728</v>
      </c>
      <c r="AJ181" s="281">
        <v>0.86448435059052087</v>
      </c>
      <c r="AK181" s="281">
        <v>0.25089501876851628</v>
      </c>
      <c r="AL181" s="281">
        <v>0.85857015724647923</v>
      </c>
      <c r="AM181" s="281">
        <v>0.36602321322359127</v>
      </c>
      <c r="AN181" s="281">
        <v>9.0432562963082525E-2</v>
      </c>
      <c r="AO181" s="281">
        <v>1.1875204285219348E-4</v>
      </c>
      <c r="AP181" s="281">
        <v>6.117762834180745E-3</v>
      </c>
      <c r="AQ181" s="281">
        <v>0.8299478925675724</v>
      </c>
      <c r="AR181" s="281">
        <v>1.551073599677393</v>
      </c>
      <c r="AS181" s="281">
        <v>1.2052901714278814</v>
      </c>
      <c r="AT181" s="281">
        <v>1.0464066516462234</v>
      </c>
      <c r="AU181" s="281">
        <v>0.65387219449739531</v>
      </c>
      <c r="AV181" s="285">
        <f ca="1">Calc!AY80</f>
        <v>0.65387219449739531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2.48</v>
      </c>
      <c r="G182" s="271">
        <v>2.46</v>
      </c>
      <c r="H182" s="271">
        <v>2.29</v>
      </c>
      <c r="I182" s="271">
        <v>2.15</v>
      </c>
      <c r="J182" s="271">
        <v>2.15</v>
      </c>
      <c r="K182" s="271">
        <v>1.94</v>
      </c>
      <c r="L182" s="271">
        <v>2</v>
      </c>
      <c r="M182" s="271">
        <v>1.93</v>
      </c>
      <c r="N182" s="271">
        <v>1.85</v>
      </c>
      <c r="O182" s="271">
        <v>1.85</v>
      </c>
      <c r="P182" s="271">
        <v>1.76</v>
      </c>
      <c r="Q182" s="271">
        <v>1.65</v>
      </c>
      <c r="R182" s="271">
        <v>1.63</v>
      </c>
      <c r="S182" s="271">
        <v>1.63</v>
      </c>
      <c r="T182" s="271">
        <v>1.64</v>
      </c>
      <c r="U182" s="271">
        <v>1.69</v>
      </c>
      <c r="V182" s="271">
        <v>1.71</v>
      </c>
      <c r="W182" s="271">
        <v>1.72</v>
      </c>
      <c r="X182" s="271">
        <v>1.68</v>
      </c>
      <c r="Y182" s="271">
        <v>1.7949999999999999</v>
      </c>
      <c r="Z182" s="273">
        <f ca="1">[1]ExtEntry!$G81</f>
        <v>1.7949999999999999</v>
      </c>
      <c r="AA182" s="298"/>
      <c r="AB182" s="281">
        <v>0.33626637290656008</v>
      </c>
      <c r="AC182" s="281">
        <v>0.41604208687771399</v>
      </c>
      <c r="AD182" s="281">
        <v>0.71072960921685502</v>
      </c>
      <c r="AE182" s="281">
        <v>1.3059450568787936</v>
      </c>
      <c r="AF182" s="281">
        <v>1.3059450568787936</v>
      </c>
      <c r="AG182" s="281">
        <v>0.66793688047830568</v>
      </c>
      <c r="AH182" s="281">
        <v>0.63925994999057933</v>
      </c>
      <c r="AI182" s="281">
        <v>0.96518871339324441</v>
      </c>
      <c r="AJ182" s="281">
        <v>0.62454319099390232</v>
      </c>
      <c r="AK182" s="281">
        <v>0.44794918562653085</v>
      </c>
      <c r="AL182" s="281">
        <v>0.70189052172330824</v>
      </c>
      <c r="AM182" s="281">
        <v>0.49651290862793795</v>
      </c>
      <c r="AN182" s="281">
        <v>0.11573249231388574</v>
      </c>
      <c r="AO182" s="281">
        <v>6.987421553167535E-3</v>
      </c>
      <c r="AP182" s="281">
        <v>7.9557498154848791E-3</v>
      </c>
      <c r="AQ182" s="281">
        <v>0.64550477628938496</v>
      </c>
      <c r="AR182" s="281">
        <v>0.63981468246337303</v>
      </c>
      <c r="AS182" s="281">
        <v>0.64244119295908386</v>
      </c>
      <c r="AT182" s="281">
        <v>1.0919866440644195</v>
      </c>
      <c r="AU182" s="281">
        <v>0.73131747771900657</v>
      </c>
      <c r="AV182" s="281">
        <f ca="1">Calc!AY81</f>
        <v>0.73131747771900657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30.52</v>
      </c>
      <c r="G183" s="271">
        <v>30.81</v>
      </c>
      <c r="H183" s="271">
        <v>31.32</v>
      </c>
      <c r="I183" s="271">
        <v>31.35</v>
      </c>
      <c r="J183" s="271">
        <v>31.35</v>
      </c>
      <c r="K183" s="271">
        <v>31.23</v>
      </c>
      <c r="L183" s="271">
        <v>32.42</v>
      </c>
      <c r="M183" s="271">
        <v>32.53</v>
      </c>
      <c r="N183" s="271">
        <v>33.369999999999997</v>
      </c>
      <c r="O183" s="271">
        <v>33.270000000000003</v>
      </c>
      <c r="P183" s="271">
        <v>33.020000000000003</v>
      </c>
      <c r="Q183" s="271">
        <v>32.340000000000003</v>
      </c>
      <c r="R183" s="271">
        <v>32.22</v>
      </c>
      <c r="S183" s="271">
        <v>32.159999999999997</v>
      </c>
      <c r="T183" s="271">
        <v>32.369999999999997</v>
      </c>
      <c r="U183" s="271">
        <v>31.27</v>
      </c>
      <c r="V183" s="271">
        <v>31.61</v>
      </c>
      <c r="W183" s="271">
        <v>30.81</v>
      </c>
      <c r="X183" s="271">
        <v>31.29</v>
      </c>
      <c r="Y183" s="271">
        <v>31.87</v>
      </c>
      <c r="Z183" s="273">
        <f ca="1">[1]ExtEntry!$G82</f>
        <v>31.87</v>
      </c>
      <c r="AA183" s="298"/>
      <c r="AB183" s="281">
        <v>0.17763355223346716</v>
      </c>
      <c r="AC183" s="281">
        <v>0.20013440786501163</v>
      </c>
      <c r="AD183" s="281">
        <v>0.11671149917449927</v>
      </c>
      <c r="AE183" s="281">
        <v>0.2542145449680055</v>
      </c>
      <c r="AF183" s="281">
        <v>0.2542145449680055</v>
      </c>
      <c r="AG183" s="281">
        <v>0.4682088435957919</v>
      </c>
      <c r="AH183" s="281">
        <v>0.71232858408073418</v>
      </c>
      <c r="AI183" s="281">
        <v>0.75236743879083579</v>
      </c>
      <c r="AJ183" s="281">
        <v>0.4819626265514424</v>
      </c>
      <c r="AK183" s="281">
        <v>0.13278523703103304</v>
      </c>
      <c r="AL183" s="281">
        <v>0.41321153561785207</v>
      </c>
      <c r="AM183" s="281">
        <v>0.37893503691527836</v>
      </c>
      <c r="AN183" s="281">
        <v>9.0398588123613399E-2</v>
      </c>
      <c r="AO183" s="281">
        <v>3.7353862352013337E-7</v>
      </c>
      <c r="AP183" s="281">
        <v>8.7672521607404816E-4</v>
      </c>
      <c r="AQ183" s="281">
        <v>1.2602232030471003</v>
      </c>
      <c r="AR183" s="281">
        <v>0.94393522759890969</v>
      </c>
      <c r="AS183" s="281">
        <v>1.0337048326381342</v>
      </c>
      <c r="AT183" s="281">
        <v>1.3607380656340082</v>
      </c>
      <c r="AU183" s="281">
        <v>1.4239880871987247</v>
      </c>
      <c r="AV183" s="285">
        <f ca="1">Calc!AY82</f>
        <v>1.4239880871987247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577.41999999999996</v>
      </c>
      <c r="G184" s="271">
        <v>584.38</v>
      </c>
      <c r="H184" s="271">
        <v>582.32500000000005</v>
      </c>
      <c r="I184" s="271">
        <v>584.41</v>
      </c>
      <c r="J184" s="271">
        <v>584.41</v>
      </c>
      <c r="K184" s="271">
        <v>585.91</v>
      </c>
      <c r="L184" s="271">
        <v>597.82000000000005</v>
      </c>
      <c r="M184" s="271">
        <v>593.08000000000004</v>
      </c>
      <c r="N184" s="271">
        <v>591.21</v>
      </c>
      <c r="O184" s="271">
        <v>593.98</v>
      </c>
      <c r="P184" s="271">
        <v>592</v>
      </c>
      <c r="Q184" s="271">
        <v>595.5</v>
      </c>
      <c r="R184" s="271">
        <v>589.97</v>
      </c>
      <c r="S184" s="271">
        <v>591.83000000000004</v>
      </c>
      <c r="T184" s="271">
        <v>593.03</v>
      </c>
      <c r="U184" s="271">
        <v>582.62</v>
      </c>
      <c r="V184" s="271">
        <v>583.54</v>
      </c>
      <c r="W184" s="271">
        <v>582.13</v>
      </c>
      <c r="X184" s="271">
        <v>581.04</v>
      </c>
      <c r="Y184" s="271">
        <v>586.44000000000005</v>
      </c>
      <c r="Z184" s="273">
        <f ca="1">[1]ExtEntry!$G83</f>
        <v>586.44000000000005</v>
      </c>
      <c r="AA184" s="298"/>
      <c r="AB184" s="281">
        <v>0.36277099720501943</v>
      </c>
      <c r="AC184" s="281">
        <v>0.26392177576432091</v>
      </c>
      <c r="AD184" s="281">
        <v>0.14193381622838169</v>
      </c>
      <c r="AE184" s="281">
        <v>0.51287751255661573</v>
      </c>
      <c r="AF184" s="281">
        <v>0.51287751255661573</v>
      </c>
      <c r="AG184" s="281">
        <v>1.1405642467621668</v>
      </c>
      <c r="AH184" s="281">
        <v>0.78527037555009238</v>
      </c>
      <c r="AI184" s="281">
        <v>1.8866966434125008</v>
      </c>
      <c r="AJ184" s="281">
        <v>0.56366249136357494</v>
      </c>
      <c r="AK184" s="281">
        <v>0.12669365692918944</v>
      </c>
      <c r="AL184" s="281">
        <v>0.81250559042567094</v>
      </c>
      <c r="AM184" s="281">
        <v>0.31339858587438379</v>
      </c>
      <c r="AN184" s="281">
        <v>0.17153973608919851</v>
      </c>
      <c r="AO184" s="281">
        <v>1.1576705383891548E-4</v>
      </c>
      <c r="AP184" s="281">
        <v>4.0798064805285867E-4</v>
      </c>
      <c r="AQ184" s="281">
        <v>0.78683668045797261</v>
      </c>
      <c r="AR184" s="281">
        <v>0.93528056103947599</v>
      </c>
      <c r="AS184" s="281">
        <v>1.0596512728257634</v>
      </c>
      <c r="AT184" s="281">
        <v>0.62363646606647205</v>
      </c>
      <c r="AU184" s="281">
        <v>0.93986094147726729</v>
      </c>
      <c r="AV184" s="281">
        <f ca="1">Calc!AY83</f>
        <v>0.93986094147726729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8.69</v>
      </c>
      <c r="G185" s="271">
        <v>9.49</v>
      </c>
      <c r="H185" s="271">
        <v>10</v>
      </c>
      <c r="I185" s="271">
        <v>9.6300000000000008</v>
      </c>
      <c r="J185" s="271">
        <v>9.6300000000000008</v>
      </c>
      <c r="K185" s="271">
        <v>8.7200000000000006</v>
      </c>
      <c r="L185" s="271">
        <v>7.85</v>
      </c>
      <c r="M185" s="271">
        <v>7.5</v>
      </c>
      <c r="N185" s="271">
        <v>7.45</v>
      </c>
      <c r="O185" s="271">
        <v>7.74</v>
      </c>
      <c r="P185" s="271">
        <v>7.5549999999999997</v>
      </c>
      <c r="Q185" s="271">
        <v>7.39</v>
      </c>
      <c r="R185" s="271">
        <v>7.52</v>
      </c>
      <c r="S185" s="271">
        <v>7.52</v>
      </c>
      <c r="T185" s="271">
        <v>7.41</v>
      </c>
      <c r="U185" s="271">
        <v>7.86</v>
      </c>
      <c r="V185" s="271">
        <v>7.74</v>
      </c>
      <c r="W185" s="271">
        <v>8.01</v>
      </c>
      <c r="X185" s="271">
        <v>8.02</v>
      </c>
      <c r="Y185" s="271">
        <v>8.2100000000000009</v>
      </c>
      <c r="Z185" s="273">
        <f ca="1">[1]ExtEntry!$G84</f>
        <v>8.2100000000000009</v>
      </c>
      <c r="AA185" s="298"/>
      <c r="AB185" s="281">
        <v>0.45706793906522136</v>
      </c>
      <c r="AC185" s="281">
        <v>0.49553693006927391</v>
      </c>
      <c r="AD185" s="281">
        <v>0.55595219805636431</v>
      </c>
      <c r="AE185" s="281">
        <v>0.44873025874576017</v>
      </c>
      <c r="AF185" s="281">
        <v>0.44873025874576017</v>
      </c>
      <c r="AG185" s="281">
        <v>0.87217403768686563</v>
      </c>
      <c r="AH185" s="281">
        <v>0.96376141475513066</v>
      </c>
      <c r="AI185" s="281">
        <v>0.85073690599945928</v>
      </c>
      <c r="AJ185" s="281">
        <v>1.4048116825081309</v>
      </c>
      <c r="AK185" s="281">
        <v>0.27251298225131099</v>
      </c>
      <c r="AL185" s="281">
        <v>0.76192764422188208</v>
      </c>
      <c r="AM185" s="281">
        <v>0.29152615358188505</v>
      </c>
      <c r="AN185" s="281">
        <v>8.7643758334272112E-2</v>
      </c>
      <c r="AO185" s="281">
        <v>1.0090910611681616E-3</v>
      </c>
      <c r="AP185" s="281">
        <v>8.7120002747542793E-3</v>
      </c>
      <c r="AQ185" s="281">
        <v>0.40244261562721717</v>
      </c>
      <c r="AR185" s="281">
        <v>0.52171267062723781</v>
      </c>
      <c r="AS185" s="281">
        <v>0.34595006625751135</v>
      </c>
      <c r="AT185" s="281">
        <v>0.43375801876926739</v>
      </c>
      <c r="AU185" s="281">
        <v>0.93153205533487649</v>
      </c>
      <c r="AV185" s="285">
        <f ca="1">Calc!AY84</f>
        <v>0.93153205533487649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120.82</v>
      </c>
      <c r="G186" s="271">
        <v>122.66</v>
      </c>
      <c r="H186" s="271">
        <v>123.78</v>
      </c>
      <c r="I186" s="271">
        <v>124.73</v>
      </c>
      <c r="J186" s="271">
        <v>124.73</v>
      </c>
      <c r="K186" s="271">
        <v>126.54</v>
      </c>
      <c r="L186" s="271">
        <v>126.86</v>
      </c>
      <c r="M186" s="271">
        <v>126.31</v>
      </c>
      <c r="N186" s="271">
        <v>126.53</v>
      </c>
      <c r="O186" s="271">
        <v>126.3</v>
      </c>
      <c r="P186" s="271">
        <v>126.25</v>
      </c>
      <c r="Q186" s="271">
        <v>126.09</v>
      </c>
      <c r="R186" s="271">
        <v>127.08</v>
      </c>
      <c r="S186" s="271">
        <v>126.96</v>
      </c>
      <c r="T186" s="271">
        <v>129.07</v>
      </c>
      <c r="U186" s="271">
        <v>128.55000000000001</v>
      </c>
      <c r="V186" s="271">
        <v>128.32</v>
      </c>
      <c r="W186" s="271">
        <v>127.29</v>
      </c>
      <c r="X186" s="271">
        <v>127.53</v>
      </c>
      <c r="Y186" s="271">
        <v>123.86</v>
      </c>
      <c r="Z186" s="273">
        <f ca="1">[1]ExtEntry!$G85</f>
        <v>123.86</v>
      </c>
      <c r="AA186" s="298"/>
      <c r="AB186" s="281">
        <v>0.2436613897412491</v>
      </c>
      <c r="AC186" s="281">
        <v>0.15294019295912875</v>
      </c>
      <c r="AD186" s="281">
        <v>0.2356738044910088</v>
      </c>
      <c r="AE186" s="281">
        <v>0.36806774302252843</v>
      </c>
      <c r="AF186" s="281">
        <v>0.36806774302252843</v>
      </c>
      <c r="AG186" s="281">
        <v>0.66538067422276082</v>
      </c>
      <c r="AH186" s="281">
        <v>0.42444757603479311</v>
      </c>
      <c r="AI186" s="281">
        <v>0.82176433984528807</v>
      </c>
      <c r="AJ186" s="281">
        <v>0.44254871626048903</v>
      </c>
      <c r="AK186" s="281">
        <v>9.0318838722509329E-2</v>
      </c>
      <c r="AL186" s="281">
        <v>0.53361887250369855</v>
      </c>
      <c r="AM186" s="281">
        <v>0.19706988686100643</v>
      </c>
      <c r="AN186" s="281">
        <v>8.391591595198028E-2</v>
      </c>
      <c r="AO186" s="281">
        <v>1.094659855316351E-2</v>
      </c>
      <c r="AP186" s="281">
        <v>5.2756111731574497E-3</v>
      </c>
      <c r="AQ186" s="281">
        <v>0.78939450835287217</v>
      </c>
      <c r="AR186" s="281">
        <v>0.77374680846723254</v>
      </c>
      <c r="AS186" s="281">
        <v>0.80788164410886143</v>
      </c>
      <c r="AT186" s="281">
        <v>0.67378958521824461</v>
      </c>
      <c r="AU186" s="281">
        <v>1.6076160084589681</v>
      </c>
      <c r="AV186" s="281">
        <f ca="1">Calc!AY85</f>
        <v>1.6076160084589681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14.305</v>
      </c>
      <c r="G187" s="271">
        <v>14.41</v>
      </c>
      <c r="H187" s="271">
        <v>14.49</v>
      </c>
      <c r="I187" s="271">
        <v>14.52</v>
      </c>
      <c r="J187" s="271">
        <v>14.52</v>
      </c>
      <c r="K187" s="271">
        <v>14.395</v>
      </c>
      <c r="L187" s="271">
        <v>14.385</v>
      </c>
      <c r="M187" s="271">
        <v>14.05</v>
      </c>
      <c r="N187" s="271">
        <v>13.875</v>
      </c>
      <c r="O187" s="271">
        <v>13.904999999999999</v>
      </c>
      <c r="P187" s="271">
        <v>13.965</v>
      </c>
      <c r="Q187" s="271">
        <v>13.82</v>
      </c>
      <c r="R187" s="271">
        <v>13.74</v>
      </c>
      <c r="S187" s="271">
        <v>13.5</v>
      </c>
      <c r="T187" s="271">
        <v>13.7</v>
      </c>
      <c r="U187" s="271">
        <v>13.615</v>
      </c>
      <c r="V187" s="271">
        <v>13.545</v>
      </c>
      <c r="W187" s="271">
        <v>13.64</v>
      </c>
      <c r="X187" s="271">
        <v>13.69</v>
      </c>
      <c r="Y187" s="271">
        <v>13.945</v>
      </c>
      <c r="Z187" s="273">
        <f ca="1">[1]ExtEntry!$G86</f>
        <v>13.945</v>
      </c>
      <c r="AA187" s="298"/>
      <c r="AB187" s="281">
        <v>1.370680455701361</v>
      </c>
      <c r="AC187" s="281">
        <v>0.20913597351075161</v>
      </c>
      <c r="AD187" s="281">
        <v>0.25569411178185525</v>
      </c>
      <c r="AE187" s="281">
        <v>0.9699543725411568</v>
      </c>
      <c r="AF187" s="281">
        <v>0.9699543725411568</v>
      </c>
      <c r="AG187" s="281">
        <v>0.76195189632931226</v>
      </c>
      <c r="AH187" s="281">
        <v>1.0036534456758504</v>
      </c>
      <c r="AI187" s="281">
        <v>3.4472748162864733</v>
      </c>
      <c r="AJ187" s="281">
        <v>1.1223387506543898</v>
      </c>
      <c r="AK187" s="281">
        <v>0.22000527361192376</v>
      </c>
      <c r="AL187" s="281">
        <v>0.14101421660353247</v>
      </c>
      <c r="AM187" s="281">
        <v>0.31528589140918567</v>
      </c>
      <c r="AN187" s="281">
        <v>0.23817996575475134</v>
      </c>
      <c r="AO187" s="281">
        <v>0.19149651866203135</v>
      </c>
      <c r="AP187" s="281">
        <v>0.38041273577364465</v>
      </c>
      <c r="AQ187" s="281">
        <v>0.61545617420066157</v>
      </c>
      <c r="AR187" s="281">
        <v>0.47934175165380377</v>
      </c>
      <c r="AS187" s="281">
        <v>0.72947597061680691</v>
      </c>
      <c r="AT187" s="281">
        <v>0.79711233921530611</v>
      </c>
      <c r="AU187" s="281">
        <v>0.48995123707291532</v>
      </c>
      <c r="AV187" s="285">
        <f ca="1">Calc!AY86</f>
        <v>0.48995123707291532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44.62</v>
      </c>
      <c r="G188" s="271">
        <v>44.69</v>
      </c>
      <c r="H188" s="271">
        <v>43.99</v>
      </c>
      <c r="I188" s="271">
        <v>44.05</v>
      </c>
      <c r="J188" s="271">
        <v>44.05</v>
      </c>
      <c r="K188" s="271">
        <v>43.95</v>
      </c>
      <c r="L188" s="271">
        <v>45.73</v>
      </c>
      <c r="M188" s="271">
        <v>46.05</v>
      </c>
      <c r="N188" s="271">
        <v>45.95</v>
      </c>
      <c r="O188" s="271">
        <v>46.99</v>
      </c>
      <c r="P188" s="271">
        <v>47.55</v>
      </c>
      <c r="Q188" s="271">
        <v>47.46</v>
      </c>
      <c r="R188" s="271">
        <v>47.58</v>
      </c>
      <c r="S188" s="271">
        <v>47.64</v>
      </c>
      <c r="T188" s="271">
        <v>46.3</v>
      </c>
      <c r="U188" s="271">
        <v>46.15</v>
      </c>
      <c r="V188" s="271">
        <v>45.74</v>
      </c>
      <c r="W188" s="271">
        <v>45.13</v>
      </c>
      <c r="X188" s="271">
        <v>45.78</v>
      </c>
      <c r="Y188" s="271">
        <v>46.26</v>
      </c>
      <c r="Z188" s="273">
        <f ca="1">[1]ExtEntry!$G87</f>
        <v>46.26</v>
      </c>
      <c r="AA188" s="298"/>
      <c r="AB188" s="281">
        <v>0.2813994921573198</v>
      </c>
      <c r="AC188" s="281">
        <v>0.40955571257856266</v>
      </c>
      <c r="AD188" s="281">
        <v>0.21185127882306909</v>
      </c>
      <c r="AE188" s="281">
        <v>0.44953477418978582</v>
      </c>
      <c r="AF188" s="281">
        <v>0.44953477418978582</v>
      </c>
      <c r="AG188" s="281">
        <v>0.81249762120669311</v>
      </c>
      <c r="AH188" s="281">
        <v>0.90908342838863376</v>
      </c>
      <c r="AI188" s="281">
        <v>0.93950248685384019</v>
      </c>
      <c r="AJ188" s="281">
        <v>0.89358360884664356</v>
      </c>
      <c r="AK188" s="281">
        <v>0.20606969558544319</v>
      </c>
      <c r="AL188" s="281">
        <v>0.60220016407008092</v>
      </c>
      <c r="AM188" s="281">
        <v>0.29093209665887476</v>
      </c>
      <c r="AN188" s="281">
        <v>0.20527191057432653</v>
      </c>
      <c r="AO188" s="281">
        <v>8.7597004556781493E-4</v>
      </c>
      <c r="AP188" s="281">
        <v>1.4813139463929639E-3</v>
      </c>
      <c r="AQ188" s="281">
        <v>0.78601881002927021</v>
      </c>
      <c r="AR188" s="281">
        <v>0.64002160468289848</v>
      </c>
      <c r="AS188" s="281">
        <v>0.82393360769525503</v>
      </c>
      <c r="AT188" s="281">
        <v>0.46533741530837947</v>
      </c>
      <c r="AU188" s="281">
        <v>0.61463911996041853</v>
      </c>
      <c r="AV188" s="281">
        <f ca="1">Calc!AY87</f>
        <v>0.61463911996041853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25.09</v>
      </c>
      <c r="G189" s="271">
        <v>25.22</v>
      </c>
      <c r="H189" s="271">
        <v>25.2</v>
      </c>
      <c r="I189" s="271">
        <v>25.14</v>
      </c>
      <c r="J189" s="271">
        <v>25.14</v>
      </c>
      <c r="K189" s="271">
        <v>25.39</v>
      </c>
      <c r="L189" s="271">
        <v>25.88</v>
      </c>
      <c r="M189" s="271">
        <v>25.14</v>
      </c>
      <c r="N189" s="271">
        <v>25.01</v>
      </c>
      <c r="O189" s="271">
        <v>25.06</v>
      </c>
      <c r="P189" s="271">
        <v>24.68</v>
      </c>
      <c r="Q189" s="271">
        <v>24.76</v>
      </c>
      <c r="R189" s="271">
        <v>24.94</v>
      </c>
      <c r="S189" s="271">
        <v>24.88</v>
      </c>
      <c r="T189" s="271">
        <v>24.78</v>
      </c>
      <c r="U189" s="271">
        <v>24.9</v>
      </c>
      <c r="V189" s="271">
        <v>24.55</v>
      </c>
      <c r="W189" s="271">
        <v>24.64</v>
      </c>
      <c r="X189" s="271">
        <v>24.6</v>
      </c>
      <c r="Y189" s="271">
        <v>24.81</v>
      </c>
      <c r="Z189" s="273">
        <f ca="1">[1]ExtEntry!$G88</f>
        <v>24.81</v>
      </c>
      <c r="AA189" s="298"/>
      <c r="AB189" s="281">
        <v>0.39801674899681094</v>
      </c>
      <c r="AC189" s="281">
        <v>0.29773288937301384</v>
      </c>
      <c r="AD189" s="281">
        <v>0.11757115568568258</v>
      </c>
      <c r="AE189" s="281">
        <v>0.47966040292952983</v>
      </c>
      <c r="AF189" s="281">
        <v>0.47966040292952983</v>
      </c>
      <c r="AG189" s="281">
        <v>0.83314897450247827</v>
      </c>
      <c r="AH189" s="281">
        <v>0.75152379647594081</v>
      </c>
      <c r="AI189" s="281">
        <v>1.0043712934923059</v>
      </c>
      <c r="AJ189" s="281">
        <v>0.71593372102552966</v>
      </c>
      <c r="AK189" s="281">
        <v>0.33513535609729711</v>
      </c>
      <c r="AL189" s="281">
        <v>0.86278085902825463</v>
      </c>
      <c r="AM189" s="281">
        <v>0.46295748987296259</v>
      </c>
      <c r="AN189" s="281">
        <v>0.11518810993323192</v>
      </c>
      <c r="AO189" s="281">
        <v>1.8435604045964639E-3</v>
      </c>
      <c r="AP189" s="281">
        <v>7.7269383264437653E-3</v>
      </c>
      <c r="AQ189" s="281">
        <v>1.1568289243681922</v>
      </c>
      <c r="AR189" s="281">
        <v>0.77000922789435866</v>
      </c>
      <c r="AS189" s="281">
        <v>0.79471942350364888</v>
      </c>
      <c r="AT189" s="281">
        <v>0.82893793378251546</v>
      </c>
      <c r="AU189" s="281">
        <v>2.1864489741497417</v>
      </c>
      <c r="AV189" s="285">
        <f ca="1">Calc!AY88</f>
        <v>2.1864489741497417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3.01</v>
      </c>
      <c r="H190" s="271">
        <v>2.93</v>
      </c>
      <c r="I190" s="271">
        <v>2.95</v>
      </c>
      <c r="J190" s="271">
        <v>2.95</v>
      </c>
      <c r="K190" s="271">
        <v>2.85</v>
      </c>
      <c r="L190" s="271">
        <v>3.08</v>
      </c>
      <c r="M190" s="271">
        <v>3.08</v>
      </c>
      <c r="N190" s="271">
        <v>3.02</v>
      </c>
      <c r="O190" s="271">
        <v>3.19</v>
      </c>
      <c r="P190" s="271">
        <v>3.09</v>
      </c>
      <c r="Q190" s="271">
        <v>3.01</v>
      </c>
      <c r="R190" s="271">
        <v>3.0150000000000001</v>
      </c>
      <c r="S190" s="271">
        <v>3.02</v>
      </c>
      <c r="T190" s="271">
        <v>2.96</v>
      </c>
      <c r="U190" s="271">
        <v>3.11</v>
      </c>
      <c r="V190" s="271">
        <v>3.18</v>
      </c>
      <c r="W190" s="271">
        <v>3.15</v>
      </c>
      <c r="X190" s="271">
        <v>3.2050000000000001</v>
      </c>
      <c r="Y190" s="271">
        <v>3.28</v>
      </c>
      <c r="Z190" s="273">
        <f ca="1">[1]ExtEntry!$G89</f>
        <v>3.28</v>
      </c>
      <c r="AA190" s="298"/>
      <c r="AB190" s="281">
        <v>0.32080675342705783</v>
      </c>
      <c r="AC190" s="281">
        <v>0.18155117031356105</v>
      </c>
      <c r="AD190" s="281">
        <v>0.15278208089864018</v>
      </c>
      <c r="AE190" s="281">
        <v>0.40938161158316533</v>
      </c>
      <c r="AF190" s="281">
        <v>0.40938161158316533</v>
      </c>
      <c r="AG190" s="281">
        <v>0.80959147301055157</v>
      </c>
      <c r="AH190" s="281">
        <v>0.77948726848674588</v>
      </c>
      <c r="AI190" s="281">
        <v>0.59875489438319363</v>
      </c>
      <c r="AJ190" s="281">
        <v>1.2045714112212316</v>
      </c>
      <c r="AK190" s="281">
        <v>0.24412136997036216</v>
      </c>
      <c r="AL190" s="281">
        <v>1.0705841966419516</v>
      </c>
      <c r="AM190" s="281">
        <v>0.27319158290605489</v>
      </c>
      <c r="AN190" s="281">
        <v>0.16945751620333163</v>
      </c>
      <c r="AO190" s="281">
        <v>1.6548193570875731E-4</v>
      </c>
      <c r="AP190" s="281">
        <v>7.8174848877121715E-4</v>
      </c>
      <c r="AQ190" s="281">
        <v>1.2385373824026302</v>
      </c>
      <c r="AR190" s="281">
        <v>0.82159920650032225</v>
      </c>
      <c r="AS190" s="281">
        <v>1.0756081750555642</v>
      </c>
      <c r="AT190" s="281">
        <v>0.79618133757842757</v>
      </c>
      <c r="AU190" s="281">
        <v>1.193715129297465</v>
      </c>
      <c r="AV190" s="281">
        <f ca="1">Calc!AY89</f>
        <v>1.193715129297465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34.234999999999999</v>
      </c>
      <c r="G191" s="271">
        <v>34.450000000000003</v>
      </c>
      <c r="H191" s="271">
        <v>33.29</v>
      </c>
      <c r="I191" s="271">
        <v>32.909999999999997</v>
      </c>
      <c r="J191" s="271">
        <v>32.909999999999997</v>
      </c>
      <c r="K191" s="271">
        <v>32.76</v>
      </c>
      <c r="L191" s="271">
        <v>33.26</v>
      </c>
      <c r="M191" s="271">
        <v>33.42</v>
      </c>
      <c r="N191" s="271">
        <v>34.229999999999997</v>
      </c>
      <c r="O191" s="271">
        <v>33.85</v>
      </c>
      <c r="P191" s="271">
        <v>34.36</v>
      </c>
      <c r="Q191" s="271">
        <v>34.06</v>
      </c>
      <c r="R191" s="271">
        <v>34.869999999999997</v>
      </c>
      <c r="S191" s="271">
        <v>34.79</v>
      </c>
      <c r="T191" s="271">
        <v>34.39</v>
      </c>
      <c r="U191" s="271">
        <v>35.19</v>
      </c>
      <c r="V191" s="271">
        <v>34.200000000000003</v>
      </c>
      <c r="W191" s="271">
        <v>34.03</v>
      </c>
      <c r="X191" s="271">
        <v>34.4</v>
      </c>
      <c r="Y191" s="271">
        <v>35.380000000000003</v>
      </c>
      <c r="Z191" s="273">
        <f ca="1">[1]ExtEntry!$G90</f>
        <v>35.380000000000003</v>
      </c>
      <c r="AA191" s="298"/>
      <c r="AB191" s="281">
        <v>0.31210955885303981</v>
      </c>
      <c r="AC191" s="281">
        <v>0.15621059037988314</v>
      </c>
      <c r="AD191" s="281">
        <v>0.35876265329237356</v>
      </c>
      <c r="AE191" s="281">
        <v>0.50289349130135497</v>
      </c>
      <c r="AF191" s="281">
        <v>0.50289349130135497</v>
      </c>
      <c r="AG191" s="281">
        <v>0.84298430151595449</v>
      </c>
      <c r="AH191" s="281">
        <v>0.86714138268041618</v>
      </c>
      <c r="AI191" s="281">
        <v>0.99941338502346455</v>
      </c>
      <c r="AJ191" s="281">
        <v>1.3980852955130161</v>
      </c>
      <c r="AK191" s="281">
        <v>0.26514409664537242</v>
      </c>
      <c r="AL191" s="281">
        <v>0.82739025507315467</v>
      </c>
      <c r="AM191" s="281">
        <v>0.18803273303894638</v>
      </c>
      <c r="AN191" s="281">
        <v>0.14753875009455436</v>
      </c>
      <c r="AO191" s="281">
        <v>1.2136747949030045</v>
      </c>
      <c r="AP191" s="281">
        <v>2.4962324599611902E-4</v>
      </c>
      <c r="AQ191" s="281">
        <v>1.7165788208767754</v>
      </c>
      <c r="AR191" s="281">
        <v>1.0344810284949888</v>
      </c>
      <c r="AS191" s="281">
        <v>1.0054924046750724</v>
      </c>
      <c r="AT191" s="281">
        <v>1.1296024359124661</v>
      </c>
      <c r="AU191" s="281">
        <v>1.3919199362700079</v>
      </c>
      <c r="AV191" s="285">
        <f ca="1">Calc!AY90</f>
        <v>1.3919199362700079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76.17</v>
      </c>
      <c r="G192" s="263">
        <v>76.05</v>
      </c>
      <c r="H192" s="263">
        <v>76.105000000000004</v>
      </c>
      <c r="I192" s="263">
        <v>76.849999999999994</v>
      </c>
      <c r="J192" s="263">
        <v>76.849999999999994</v>
      </c>
      <c r="K192" s="263">
        <v>73.58</v>
      </c>
      <c r="L192" s="263">
        <v>78.39</v>
      </c>
      <c r="M192" s="263">
        <v>78.459999999999994</v>
      </c>
      <c r="N192" s="263">
        <v>78.58</v>
      </c>
      <c r="O192" s="263">
        <v>79.844999999999999</v>
      </c>
      <c r="P192" s="263">
        <v>80.8</v>
      </c>
      <c r="Q192" s="263">
        <v>76.72</v>
      </c>
      <c r="R192" s="263">
        <v>76.25</v>
      </c>
      <c r="S192" s="263">
        <v>76.3</v>
      </c>
      <c r="T192" s="263">
        <v>75.73</v>
      </c>
      <c r="U192" s="263">
        <v>75.05</v>
      </c>
      <c r="V192" s="263">
        <v>75.63</v>
      </c>
      <c r="W192" s="263">
        <v>75.795000000000002</v>
      </c>
      <c r="X192" s="263">
        <v>73.930000000000007</v>
      </c>
      <c r="Y192" s="263">
        <v>73.599999999999994</v>
      </c>
      <c r="Z192" s="265">
        <f ca="1">[1]ExtEntry!$G91</f>
        <v>73.599999999999994</v>
      </c>
      <c r="AA192" s="298"/>
      <c r="AB192" s="281">
        <v>0.24223398465323995</v>
      </c>
      <c r="AC192" s="281">
        <v>0.13045052866219781</v>
      </c>
      <c r="AD192" s="281">
        <v>9.8978075080093847E-2</v>
      </c>
      <c r="AE192" s="281">
        <v>0.22735178441709036</v>
      </c>
      <c r="AF192" s="281">
        <v>0.22735178441709036</v>
      </c>
      <c r="AG192" s="281">
        <v>0.44834907962215992</v>
      </c>
      <c r="AH192" s="281">
        <v>0.41484422439220292</v>
      </c>
      <c r="AI192" s="281">
        <v>0.36380012727715327</v>
      </c>
      <c r="AJ192" s="281">
        <v>0.46210349625282487</v>
      </c>
      <c r="AK192" s="281">
        <v>0.19680343208076015</v>
      </c>
      <c r="AL192" s="281">
        <v>0.76391186114705856</v>
      </c>
      <c r="AM192" s="281">
        <v>0.34306809579977454</v>
      </c>
      <c r="AN192" s="281">
        <v>9.5690786934313932E-2</v>
      </c>
      <c r="AO192" s="281">
        <v>2.1505726552324987E-4</v>
      </c>
      <c r="AP192" s="281">
        <v>2.0489375979919635E-3</v>
      </c>
      <c r="AQ192" s="281">
        <v>0.67933845360525058</v>
      </c>
      <c r="AR192" s="281">
        <v>0.54342784633469265</v>
      </c>
      <c r="AS192" s="281">
        <v>0.77286718145337419</v>
      </c>
      <c r="AT192" s="281">
        <v>0.47571768261956543</v>
      </c>
      <c r="AU192" s="281">
        <v>0.63299572247995461</v>
      </c>
      <c r="AV192" s="281">
        <f ca="1">Calc!AY91</f>
        <v>0.63299572247995461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170.94</v>
      </c>
      <c r="G193" s="271">
        <v>173.215</v>
      </c>
      <c r="H193" s="271">
        <v>170.43</v>
      </c>
      <c r="I193" s="271">
        <v>173</v>
      </c>
      <c r="J193" s="271">
        <v>173</v>
      </c>
      <c r="K193" s="271">
        <v>178.82</v>
      </c>
      <c r="L193" s="271">
        <v>179.92</v>
      </c>
      <c r="M193" s="271">
        <v>179.71</v>
      </c>
      <c r="N193" s="271">
        <v>180.22</v>
      </c>
      <c r="O193" s="271">
        <v>182.91</v>
      </c>
      <c r="P193" s="271">
        <v>184.17</v>
      </c>
      <c r="Q193" s="271">
        <v>182.89500000000001</v>
      </c>
      <c r="R193" s="271">
        <v>184.05</v>
      </c>
      <c r="S193" s="271">
        <v>184.74</v>
      </c>
      <c r="T193" s="271">
        <v>188.16</v>
      </c>
      <c r="U193" s="271">
        <v>195.59</v>
      </c>
      <c r="V193" s="271">
        <v>192.09</v>
      </c>
      <c r="W193" s="271">
        <v>198.08</v>
      </c>
      <c r="X193" s="271">
        <v>192</v>
      </c>
      <c r="Y193" s="271">
        <v>192.02</v>
      </c>
      <c r="Z193" s="273">
        <f ca="1">[1]ExtEntry!$G92</f>
        <v>192.02</v>
      </c>
      <c r="AA193" s="298"/>
      <c r="AB193" s="281">
        <v>0.13534821156480234</v>
      </c>
      <c r="AC193" s="281">
        <v>0.1776952915694531</v>
      </c>
      <c r="AD193" s="281">
        <v>5.5975508133295548E-2</v>
      </c>
      <c r="AE193" s="281">
        <v>0.51464735787696192</v>
      </c>
      <c r="AF193" s="281">
        <v>0.51464735787696192</v>
      </c>
      <c r="AG193" s="281">
        <v>0.92067227973018662</v>
      </c>
      <c r="AH193" s="281">
        <v>0.76428321505198882</v>
      </c>
      <c r="AI193" s="281">
        <v>0.49444620167399556</v>
      </c>
      <c r="AJ193" s="281">
        <v>0.77513745644894294</v>
      </c>
      <c r="AK193" s="281">
        <v>8.7712637414198186E-2</v>
      </c>
      <c r="AL193" s="281">
        <v>0.8381493524035446</v>
      </c>
      <c r="AM193" s="281">
        <v>0.25974059113617076</v>
      </c>
      <c r="AN193" s="281">
        <v>6.3408765362011107E-2</v>
      </c>
      <c r="AO193" s="281">
        <v>4.2830792107012328E-4</v>
      </c>
      <c r="AP193" s="281">
        <v>4.1854306303432702E-3</v>
      </c>
      <c r="AQ193" s="281">
        <v>1.0832474201971345</v>
      </c>
      <c r="AR193" s="281">
        <v>1.4220962322048933</v>
      </c>
      <c r="AS193" s="281">
        <v>2.184393421205526</v>
      </c>
      <c r="AT193" s="281">
        <v>0.71557709503554512</v>
      </c>
      <c r="AU193" s="281">
        <v>0.81019221150410858</v>
      </c>
      <c r="AV193" s="285">
        <f ca="1">Calc!AY92</f>
        <v>0.81019221150410858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7.2407010864366522E-5</v>
      </c>
      <c r="AM194" s="281">
        <v>7.2077806511077887E-5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16.015000000000001</v>
      </c>
      <c r="G195" s="271">
        <v>16.010000000000002</v>
      </c>
      <c r="H195" s="271">
        <v>15.875</v>
      </c>
      <c r="I195" s="271">
        <v>15.795</v>
      </c>
      <c r="J195" s="271">
        <v>15.795</v>
      </c>
      <c r="K195" s="271">
        <v>15.78</v>
      </c>
      <c r="L195" s="271">
        <v>15.375</v>
      </c>
      <c r="M195" s="271">
        <v>15.545</v>
      </c>
      <c r="N195" s="271">
        <v>15.645</v>
      </c>
      <c r="O195" s="271">
        <v>15.725</v>
      </c>
      <c r="P195" s="271">
        <v>15.275</v>
      </c>
      <c r="Q195" s="271">
        <v>15</v>
      </c>
      <c r="R195" s="271">
        <v>14.664999999999999</v>
      </c>
      <c r="S195" s="271">
        <v>14.84</v>
      </c>
      <c r="T195" s="271">
        <v>14.91</v>
      </c>
      <c r="U195" s="271">
        <v>15.244999999999999</v>
      </c>
      <c r="V195" s="271">
        <v>15.345000000000001</v>
      </c>
      <c r="W195" s="271">
        <v>15.25</v>
      </c>
      <c r="X195" s="271">
        <v>15.34</v>
      </c>
      <c r="Y195" s="271">
        <v>15.35</v>
      </c>
      <c r="Z195" s="273">
        <f ca="1">[1]ExtEntry!$G94</f>
        <v>15.35</v>
      </c>
      <c r="AA195" s="298"/>
      <c r="AB195" s="281">
        <v>0.979873686836639</v>
      </c>
      <c r="AC195" s="281">
        <v>0.35805565009993268</v>
      </c>
      <c r="AD195" s="281">
        <v>0.24217004841141768</v>
      </c>
      <c r="AE195" s="281">
        <v>0.979560329091823</v>
      </c>
      <c r="AF195" s="281">
        <v>0.979560329091823</v>
      </c>
      <c r="AG195" s="281">
        <v>1.5034739578126561</v>
      </c>
      <c r="AH195" s="281">
        <v>0.66571035696316572</v>
      </c>
      <c r="AI195" s="281">
        <v>1.4155756166050699</v>
      </c>
      <c r="AJ195" s="281">
        <v>0.80384016727284047</v>
      </c>
      <c r="AK195" s="281">
        <v>0.49306938398559708</v>
      </c>
      <c r="AL195" s="281">
        <v>0.26765990191014288</v>
      </c>
      <c r="AM195" s="281">
        <v>0.73895903337291724</v>
      </c>
      <c r="AN195" s="281">
        <v>0.40584812997865433</v>
      </c>
      <c r="AO195" s="281">
        <v>0.25667775986688157</v>
      </c>
      <c r="AP195" s="281">
        <v>0.39115581896623441</v>
      </c>
      <c r="AQ195" s="281">
        <v>1.2022287043071129</v>
      </c>
      <c r="AR195" s="281">
        <v>0.70569194452640893</v>
      </c>
      <c r="AS195" s="281">
        <v>0.55841424954895891</v>
      </c>
      <c r="AT195" s="281">
        <v>0.59672243427563043</v>
      </c>
      <c r="AU195" s="281">
        <v>1.2674223751841054</v>
      </c>
      <c r="AV195" s="285">
        <f ca="1">Calc!AY94</f>
        <v>1.2674223751841054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9.7430000000000003</v>
      </c>
      <c r="G196" s="372">
        <v>9.6359999999999992</v>
      </c>
      <c r="H196" s="263">
        <v>9.6460000000000008</v>
      </c>
      <c r="I196" s="263">
        <v>9.6859999999999999</v>
      </c>
      <c r="J196" s="263">
        <v>9.6859999999999999</v>
      </c>
      <c r="K196" s="263">
        <v>9.6479999999999997</v>
      </c>
      <c r="L196" s="263">
        <v>9.5690000000000008</v>
      </c>
      <c r="M196" s="263">
        <v>9.6630000000000003</v>
      </c>
      <c r="N196" s="263">
        <v>9.7810000000000006</v>
      </c>
      <c r="O196" s="263">
        <v>9.9049999999999994</v>
      </c>
      <c r="P196" s="263">
        <v>9.9969999999999999</v>
      </c>
      <c r="Q196" s="263">
        <v>9.9789999999999992</v>
      </c>
      <c r="R196" s="263">
        <v>9.859</v>
      </c>
      <c r="S196" s="263">
        <v>9.8949999999999996</v>
      </c>
      <c r="T196" s="263">
        <v>10.013999999999999</v>
      </c>
      <c r="U196" s="263">
        <v>10.141999999999999</v>
      </c>
      <c r="V196" s="263">
        <v>10.222</v>
      </c>
      <c r="W196" s="263">
        <v>10.308</v>
      </c>
      <c r="X196" s="263">
        <v>10.266</v>
      </c>
      <c r="Y196" s="263">
        <v>10.375999999999999</v>
      </c>
      <c r="Z196" s="265">
        <f ca="1">[1]ExtEntry!$G95</f>
        <v>10.375999999999999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1.0045673469993572</v>
      </c>
      <c r="AM196" s="281">
        <v>1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331.375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331.375</v>
      </c>
      <c r="G200" s="102" cm="1">
        <f t="array" aca="1" ref="G200" ca="1">_xlfn.XLOOKUP(DataShiftChartTicker,ListTickers,Tab1Price[Price1])</f>
        <v>333.30500000000001</v>
      </c>
      <c r="H200" s="102" cm="1">
        <f t="array" aca="1" ref="H200" ca="1">_xlfn.XLOOKUP(DataShiftChartTicker,ListTickers,Tab1Price[Price2])</f>
        <v>332.74579999999997</v>
      </c>
      <c r="I200" s="102" cm="1">
        <f t="array" aca="1" ref="I200" ca="1">_xlfn.XLOOKUP(DataShiftChartTicker,ListTickers,Tab1Price[Price3])</f>
        <v>329.78320000000002</v>
      </c>
      <c r="J200" s="102" cm="1">
        <f t="array" aca="1" ref="J200" ca="1">_xlfn.XLOOKUP(DataShiftChartTicker,ListTickers,Tab1Price[Price4])</f>
        <v>329.78320000000002</v>
      </c>
      <c r="K200" s="102" cm="1">
        <f t="array" aca="1" ref="K200" ca="1">_xlfn.XLOOKUP(DataShiftChartTicker,ListTickers,Tab1Price[Price5])</f>
        <v>323.89999999999998</v>
      </c>
      <c r="L200" s="102" cm="1">
        <f t="array" aca="1" ref="L200" ca="1">_xlfn.XLOOKUP(DataShiftChartTicker,ListTickers,Tab1Price[Price6])</f>
        <v>346.6</v>
      </c>
      <c r="M200" s="102" cm="1">
        <f t="array" aca="1" ref="M200" ca="1">_xlfn.XLOOKUP(DataShiftChartTicker,ListTickers,Tab1Price[Price7])</f>
        <v>351.67</v>
      </c>
      <c r="N200" s="102" cm="1">
        <f t="array" aca="1" ref="N200" ca="1">_xlfn.XLOOKUP(DataShiftChartTicker,ListTickers,Tab1Price[Price8])</f>
        <v>349.6</v>
      </c>
      <c r="O200" s="102" cm="1">
        <f t="array" aca="1" ref="O200" ca="1">_xlfn.XLOOKUP(DataShiftChartTicker,ListTickers,Tab1Price[Price9])</f>
        <v>344.97800000000001</v>
      </c>
      <c r="P200" s="102" cm="1">
        <f t="array" aca="1" ref="P200" ca="1">_xlfn.XLOOKUP(DataShiftChartTicker,ListTickers,Tab1Price[Price10])</f>
        <v>333.87</v>
      </c>
      <c r="Q200" s="102" cm="1">
        <f t="array" aca="1" ref="Q200" ca="1">_xlfn.XLOOKUP(DataShiftChartTicker,ListTickers,Tab1Price[Price11])</f>
        <v>327.73320000000001</v>
      </c>
      <c r="R200" s="102" cm="1">
        <f t="array" aca="1" ref="R200" ca="1">_xlfn.XLOOKUP(DataShiftChartTicker,ListTickers,Tab1Price[Price12])</f>
        <v>332.31</v>
      </c>
      <c r="S200" s="102" cm="1">
        <f t="array" aca="1" ref="S200" ca="1">_xlfn.XLOOKUP(DataShiftChartTicker,ListTickers,Tab1Price[Price13])</f>
        <v>334.09</v>
      </c>
      <c r="T200" s="102" cm="1">
        <f t="array" aca="1" ref="T200" ca="1">_xlfn.XLOOKUP(DataShiftChartTicker,ListTickers,Tab1Price[Price14])</f>
        <v>338.53</v>
      </c>
      <c r="U200" s="102" cm="1">
        <f t="array" aca="1" ref="U200" ca="1">_xlfn.XLOOKUP(DataShiftChartTicker,ListTickers,Tab1Price[Price15])</f>
        <v>346.4</v>
      </c>
      <c r="V200" s="102" cm="1">
        <f t="array" aca="1" ref="V200" ca="1">_xlfn.XLOOKUP(DataShiftChartTicker,ListTickers,Tab1Price[Price16])</f>
        <v>346.97</v>
      </c>
      <c r="W200" s="102" cm="1">
        <f t="array" aca="1" ref="W200" ca="1">_xlfn.XLOOKUP(DataShiftChartTicker,ListTickers,Tab1Price[Price17])</f>
        <v>347.79</v>
      </c>
      <c r="X200" s="102" cm="1">
        <f t="array" aca="1" ref="X200" ca="1">_xlfn.XLOOKUP(DataShiftChartTicker,ListTickers,Tab1Price[Price18])</f>
        <v>368.41</v>
      </c>
      <c r="Y200" s="102" cm="1">
        <f t="array" aca="1" ref="Y200" ca="1">_xlfn.XLOOKUP(DataShiftChartTicker,ListTickers,Tab1Price[Price19])</f>
        <v>395.94</v>
      </c>
      <c r="Z200" s="102" cm="1">
        <f t="array" aca="1" ref="Z200" ca="1">_xlfn.XLOOKUP(DataShiftChartTicker,ListTickers,Tab1Price[Price20])</f>
        <v>395.94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45887</v>
      </c>
      <c r="G201" s="128">
        <f t="shared" si="9"/>
        <v>45888</v>
      </c>
      <c r="H201" s="128">
        <f t="shared" si="9"/>
        <v>45889</v>
      </c>
      <c r="I201" s="128">
        <f t="shared" si="9"/>
        <v>45890</v>
      </c>
      <c r="J201" s="128">
        <f t="shared" si="9"/>
        <v>45891</v>
      </c>
      <c r="K201" s="128">
        <f t="shared" si="9"/>
        <v>45894</v>
      </c>
      <c r="L201" s="128">
        <f t="shared" si="9"/>
        <v>45895</v>
      </c>
      <c r="M201" s="128">
        <f t="shared" si="9"/>
        <v>45896</v>
      </c>
      <c r="N201" s="128">
        <f t="shared" si="9"/>
        <v>45897</v>
      </c>
      <c r="O201" s="128">
        <f t="shared" si="9"/>
        <v>45898</v>
      </c>
      <c r="P201" s="128">
        <f t="shared" si="9"/>
        <v>45901</v>
      </c>
      <c r="Q201" s="128">
        <f t="shared" si="9"/>
        <v>45902</v>
      </c>
      <c r="R201" s="128">
        <f t="shared" si="9"/>
        <v>45903</v>
      </c>
      <c r="S201" s="128">
        <f t="shared" si="9"/>
        <v>45904</v>
      </c>
      <c r="T201" s="128">
        <f t="shared" si="9"/>
        <v>45905</v>
      </c>
      <c r="U201" s="128">
        <f t="shared" si="9"/>
        <v>45908</v>
      </c>
      <c r="V201" s="128">
        <f t="shared" si="9"/>
        <v>45909</v>
      </c>
      <c r="W201" s="128">
        <f t="shared" si="9"/>
        <v>45910</v>
      </c>
      <c r="X201" s="128">
        <f t="shared" si="9"/>
        <v>45911</v>
      </c>
      <c r="Y201" s="128">
        <f t="shared" si="9"/>
        <v>45912</v>
      </c>
      <c r="Z201" s="128">
        <f t="shared" ca="1" si="9"/>
        <v>45912</v>
      </c>
      <c r="AA201" s="298"/>
      <c r="AB201" s="128">
        <f t="shared" ref="AB201:AV201" si="10">F201</f>
        <v>45887</v>
      </c>
      <c r="AC201" s="128">
        <f t="shared" si="10"/>
        <v>45888</v>
      </c>
      <c r="AD201" s="128">
        <f t="shared" si="10"/>
        <v>45889</v>
      </c>
      <c r="AE201" s="128">
        <f t="shared" si="10"/>
        <v>45890</v>
      </c>
      <c r="AF201" s="128">
        <f t="shared" si="10"/>
        <v>45891</v>
      </c>
      <c r="AG201" s="128">
        <f t="shared" si="10"/>
        <v>45894</v>
      </c>
      <c r="AH201" s="128">
        <f t="shared" si="10"/>
        <v>45895</v>
      </c>
      <c r="AI201" s="128">
        <f t="shared" si="10"/>
        <v>45896</v>
      </c>
      <c r="AJ201" s="128">
        <f t="shared" si="10"/>
        <v>45897</v>
      </c>
      <c r="AK201" s="128">
        <f t="shared" si="10"/>
        <v>45898</v>
      </c>
      <c r="AL201" s="128">
        <f t="shared" si="10"/>
        <v>45901</v>
      </c>
      <c r="AM201" s="128">
        <f t="shared" si="10"/>
        <v>45902</v>
      </c>
      <c r="AN201" s="128">
        <f t="shared" si="10"/>
        <v>45903</v>
      </c>
      <c r="AO201" s="128">
        <f t="shared" si="10"/>
        <v>45904</v>
      </c>
      <c r="AP201" s="128">
        <f t="shared" si="10"/>
        <v>45905</v>
      </c>
      <c r="AQ201" s="128">
        <f t="shared" si="10"/>
        <v>45908</v>
      </c>
      <c r="AR201" s="128">
        <f t="shared" si="10"/>
        <v>45909</v>
      </c>
      <c r="AS201" s="128">
        <f t="shared" si="10"/>
        <v>45910</v>
      </c>
      <c r="AT201" s="128">
        <f t="shared" si="10"/>
        <v>45911</v>
      </c>
      <c r="AU201" s="128">
        <f t="shared" si="10"/>
        <v>45912</v>
      </c>
      <c r="AV201" s="128">
        <f t="shared" ca="1" si="10"/>
        <v>45912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232.18</v>
      </c>
      <c r="G203" s="263">
        <v>231.24</v>
      </c>
      <c r="H203" s="263">
        <v>231.01</v>
      </c>
      <c r="I203" s="263">
        <v>230.12</v>
      </c>
      <c r="J203" s="263">
        <v>230.12</v>
      </c>
      <c r="K203" s="263">
        <v>226.01</v>
      </c>
      <c r="L203" s="263">
        <v>227.16</v>
      </c>
      <c r="M203" s="263">
        <v>229.31</v>
      </c>
      <c r="N203" s="263">
        <v>230.49</v>
      </c>
      <c r="O203" s="263">
        <v>231.3999</v>
      </c>
      <c r="P203" s="263">
        <v>232.14</v>
      </c>
      <c r="Q203" s="263">
        <v>227.57980000000001</v>
      </c>
      <c r="R203" s="263">
        <v>236.19540000000001</v>
      </c>
      <c r="S203" s="263">
        <v>238.47</v>
      </c>
      <c r="T203" s="263">
        <v>239.78</v>
      </c>
      <c r="U203" s="263">
        <v>237.88</v>
      </c>
      <c r="V203" s="263">
        <v>234.35</v>
      </c>
      <c r="W203" s="263">
        <v>226.79</v>
      </c>
      <c r="X203" s="263">
        <v>230.405</v>
      </c>
      <c r="Y203" s="263">
        <v>234.07</v>
      </c>
      <c r="Z203" s="265">
        <f ca="1">[1]ExtEntry!$H3</f>
        <v>234.07</v>
      </c>
      <c r="AA203" s="298"/>
      <c r="AB203" s="282">
        <v>8.9811200000000022E-2</v>
      </c>
      <c r="AC203" s="282">
        <v>8.0624200000000007E-2</v>
      </c>
      <c r="AD203" s="282">
        <v>6.6897200000000018E-2</v>
      </c>
      <c r="AE203" s="282">
        <v>5.7406200000000004E-2</v>
      </c>
      <c r="AF203" s="282">
        <v>5.5237200000000007E-2</v>
      </c>
      <c r="AG203" s="282">
        <v>3.6668199999999998E-2</v>
      </c>
      <c r="AH203" s="282">
        <v>3.5855200000000018E-2</v>
      </c>
      <c r="AI203" s="282">
        <v>4.4758800000000029E-2</v>
      </c>
      <c r="AJ203" s="282">
        <v>4.9110000000000015E-2</v>
      </c>
      <c r="AK203" s="282">
        <v>6.3566000000000011E-2</v>
      </c>
      <c r="AL203" s="282">
        <v>6.8839999999999985E-2</v>
      </c>
      <c r="AM203" s="282">
        <v>-7.0526130952380953E-3</v>
      </c>
      <c r="AN203" s="282">
        <v>-5.6451904761904755E-3</v>
      </c>
      <c r="AO203" s="282">
        <v>2.4793452380952354E-4</v>
      </c>
      <c r="AP203" s="282">
        <v>9.0152380952380779E-4</v>
      </c>
      <c r="AQ203" s="282">
        <v>1.5640952380952377E-3</v>
      </c>
      <c r="AR203" s="282">
        <v>1.1324940476190467E-3</v>
      </c>
      <c r="AS203" s="282">
        <v>1.3600000000000049E-4</v>
      </c>
      <c r="AT203" s="282">
        <v>1.198202380952381E-3</v>
      </c>
      <c r="AU203" s="282">
        <v>5.5304583333333325E-3</v>
      </c>
      <c r="AV203" s="282">
        <f t="shared" ref="AV203:AV234" ca="1" si="11">AVERAGE(S698:Z698)-AVERAGE(F698:Z698)</f>
        <v>3.9424285714285707E-3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14.795</v>
      </c>
      <c r="G204" s="271">
        <v>14.89</v>
      </c>
      <c r="H204" s="271">
        <v>14.99</v>
      </c>
      <c r="I204" s="271">
        <v>14.78</v>
      </c>
      <c r="J204" s="271">
        <v>14.78</v>
      </c>
      <c r="K204" s="271">
        <v>14.52</v>
      </c>
      <c r="L204" s="271">
        <v>15.58</v>
      </c>
      <c r="M204" s="271">
        <v>15.36</v>
      </c>
      <c r="N204" s="271">
        <v>15.56</v>
      </c>
      <c r="O204" s="271">
        <v>15.45</v>
      </c>
      <c r="P204" s="271">
        <v>15.04</v>
      </c>
      <c r="Q204" s="271">
        <v>14.83</v>
      </c>
      <c r="R204" s="271">
        <v>14.95</v>
      </c>
      <c r="S204" s="271">
        <v>15.26</v>
      </c>
      <c r="T204" s="271">
        <v>15.41</v>
      </c>
      <c r="U204" s="271">
        <v>15.37</v>
      </c>
      <c r="V204" s="271">
        <v>15.35</v>
      </c>
      <c r="W204" s="271">
        <v>15.11</v>
      </c>
      <c r="X204" s="271">
        <v>15.65</v>
      </c>
      <c r="Y204" s="271">
        <v>15.65</v>
      </c>
      <c r="Z204" s="273">
        <f ca="1">[1]ExtEntry!$H4</f>
        <v>15.65</v>
      </c>
      <c r="AA204" s="299"/>
      <c r="AB204" s="286">
        <v>2.3891599999999989E-2</v>
      </c>
      <c r="AC204" s="286">
        <v>4.3866600000000006E-2</v>
      </c>
      <c r="AD204" s="286">
        <v>4.4534200000000003E-2</v>
      </c>
      <c r="AE204" s="286">
        <v>2.2618599999999982E-2</v>
      </c>
      <c r="AF204" s="286">
        <v>-2.440000000000081E-5</v>
      </c>
      <c r="AG204" s="286">
        <v>-2.105640000000001E-2</v>
      </c>
      <c r="AH204" s="286">
        <v>8.1715999999999924E-3</v>
      </c>
      <c r="AI204" s="286">
        <v>1.2094599999999988E-2</v>
      </c>
      <c r="AJ204" s="286">
        <v>1.6058600000000006E-2</v>
      </c>
      <c r="AK204" s="286">
        <v>5.9035999999999993E-3</v>
      </c>
      <c r="AL204" s="286">
        <v>-1.8674400000000011E-2</v>
      </c>
      <c r="AM204" s="286">
        <v>-1.1298582142857143E-2</v>
      </c>
      <c r="AN204" s="286">
        <v>-1.0632939285714287E-2</v>
      </c>
      <c r="AO204" s="286">
        <v>-6.0069988095238086E-3</v>
      </c>
      <c r="AP204" s="286">
        <v>-5.345260714285714E-3</v>
      </c>
      <c r="AQ204" s="286">
        <v>6.4041785714285767E-4</v>
      </c>
      <c r="AR204" s="286">
        <v>-1.9172607142857146E-3</v>
      </c>
      <c r="AS204" s="286">
        <v>-3.0829642857142835E-4</v>
      </c>
      <c r="AT204" s="286">
        <v>5.4747154761904766E-3</v>
      </c>
      <c r="AU204" s="286">
        <v>9.5397702380952375E-3</v>
      </c>
      <c r="AV204" s="282">
        <f t="shared" ca="1" si="11"/>
        <v>1.0005807142857145E-2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46.8</v>
      </c>
      <c r="G205" s="263">
        <v>45.97</v>
      </c>
      <c r="H205" s="263">
        <v>46.2</v>
      </c>
      <c r="I205" s="263">
        <v>46.5</v>
      </c>
      <c r="J205" s="263">
        <v>46.5</v>
      </c>
      <c r="K205" s="263">
        <v>45.8</v>
      </c>
      <c r="L205" s="263">
        <v>48.7</v>
      </c>
      <c r="M205" s="263">
        <v>49</v>
      </c>
      <c r="N205" s="263">
        <v>48.4</v>
      </c>
      <c r="O205" s="263">
        <v>48.4726</v>
      </c>
      <c r="P205" s="263">
        <v>51.104399999999998</v>
      </c>
      <c r="Q205" s="263">
        <v>52</v>
      </c>
      <c r="R205" s="263">
        <v>51.4</v>
      </c>
      <c r="S205" s="263">
        <v>50.6</v>
      </c>
      <c r="T205" s="263">
        <v>54</v>
      </c>
      <c r="U205" s="263">
        <v>55</v>
      </c>
      <c r="V205" s="263">
        <v>54.6</v>
      </c>
      <c r="W205" s="263">
        <v>51.6</v>
      </c>
      <c r="X205" s="263">
        <v>51.2</v>
      </c>
      <c r="Y205" s="263">
        <v>51.4</v>
      </c>
      <c r="Z205" s="265">
        <f ca="1">[1]ExtEntry!$H5</f>
        <v>51.4</v>
      </c>
      <c r="AB205" s="282">
        <v>-0.13796725999999998</v>
      </c>
      <c r="AC205" s="282">
        <v>-0.155781</v>
      </c>
      <c r="AD205" s="282">
        <v>-0.14701600000000001</v>
      </c>
      <c r="AE205" s="282">
        <v>-0.14769500000000002</v>
      </c>
      <c r="AF205" s="282">
        <v>-0.15798100000000001</v>
      </c>
      <c r="AG205" s="282">
        <v>-0.16683800000000001</v>
      </c>
      <c r="AH205" s="282">
        <v>-0.15646500000000002</v>
      </c>
      <c r="AI205" s="282">
        <v>-0.11362500000000003</v>
      </c>
      <c r="AJ205" s="282">
        <v>-0.11985799999999999</v>
      </c>
      <c r="AK205" s="282">
        <v>-0.12845899999999999</v>
      </c>
      <c r="AL205" s="282">
        <v>-6.9752000000000008E-2</v>
      </c>
      <c r="AM205" s="282">
        <v>6.8263809523809518E-3</v>
      </c>
      <c r="AN205" s="282">
        <v>6.7446071428571433E-3</v>
      </c>
      <c r="AO205" s="282">
        <v>6.634904761904762E-3</v>
      </c>
      <c r="AP205" s="282">
        <v>4.1909166666666666E-3</v>
      </c>
      <c r="AQ205" s="282">
        <v>3.9815892857142862E-3</v>
      </c>
      <c r="AR205" s="282">
        <v>5.4403273809523808E-3</v>
      </c>
      <c r="AS205" s="282">
        <v>-3.5939285714285674E-4</v>
      </c>
      <c r="AT205" s="282">
        <v>-7.2982440476190482E-3</v>
      </c>
      <c r="AU205" s="282">
        <v>-7.5029761904761884E-3</v>
      </c>
      <c r="AV205" s="282">
        <f t="shared" ca="1" si="11"/>
        <v>-6.0144642857142853E-3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230.95320000000001</v>
      </c>
      <c r="G206" s="271">
        <v>231.58</v>
      </c>
      <c r="H206" s="271">
        <v>230.2</v>
      </c>
      <c r="I206" s="271">
        <v>227.5</v>
      </c>
      <c r="J206" s="271">
        <v>227.5</v>
      </c>
      <c r="K206" s="271">
        <v>223.81</v>
      </c>
      <c r="L206" s="271">
        <v>227.94</v>
      </c>
      <c r="M206" s="271">
        <v>228.71</v>
      </c>
      <c r="N206" s="271">
        <v>229.12</v>
      </c>
      <c r="O206" s="271">
        <v>232.5471</v>
      </c>
      <c r="P206" s="271">
        <v>229</v>
      </c>
      <c r="Q206" s="271">
        <v>222.37289999999999</v>
      </c>
      <c r="R206" s="271">
        <v>225.98</v>
      </c>
      <c r="S206" s="271">
        <v>225.99</v>
      </c>
      <c r="T206" s="271">
        <v>235.68</v>
      </c>
      <c r="U206" s="271">
        <v>235.84</v>
      </c>
      <c r="V206" s="271">
        <v>238.24</v>
      </c>
      <c r="W206" s="271">
        <v>230.33</v>
      </c>
      <c r="X206" s="271">
        <v>230.14500000000001</v>
      </c>
      <c r="Y206" s="271">
        <v>228.15</v>
      </c>
      <c r="Z206" s="273">
        <f ca="1">[1]ExtEntry!$H6</f>
        <v>228.15</v>
      </c>
      <c r="AB206" s="286">
        <v>-1.4600800000000014E-2</v>
      </c>
      <c r="AC206" s="286">
        <v>-1.3699799999999991E-2</v>
      </c>
      <c r="AD206" s="286">
        <v>-2.6269800000000003E-2</v>
      </c>
      <c r="AE206" s="286">
        <v>-5.7523800000000014E-2</v>
      </c>
      <c r="AF206" s="286">
        <v>-7.8364800000000012E-2</v>
      </c>
      <c r="AG206" s="286">
        <v>-0.10038980000000002</v>
      </c>
      <c r="AH206" s="286">
        <v>-0.12158180000000002</v>
      </c>
      <c r="AI206" s="286">
        <v>-0.1148018</v>
      </c>
      <c r="AJ206" s="286">
        <v>-0.11884180000000003</v>
      </c>
      <c r="AK206" s="286">
        <v>-0.10033380000000003</v>
      </c>
      <c r="AL206" s="286">
        <v>-0.1285888</v>
      </c>
      <c r="AM206" s="286">
        <v>-3.8541345238095243E-3</v>
      </c>
      <c r="AN206" s="286">
        <v>-5.4177773809523811E-3</v>
      </c>
      <c r="AO206" s="286">
        <v>-2.508414285714286E-3</v>
      </c>
      <c r="AP206" s="286">
        <v>1.773627380952381E-3</v>
      </c>
      <c r="AQ206" s="286">
        <v>4.4263059523809529E-3</v>
      </c>
      <c r="AR206" s="286">
        <v>4.7261333333333336E-3</v>
      </c>
      <c r="AS206" s="286">
        <v>1.1322857142857198E-4</v>
      </c>
      <c r="AT206" s="286">
        <v>1.1570880952380957E-3</v>
      </c>
      <c r="AU206" s="286">
        <v>4.2053059523809539E-3</v>
      </c>
      <c r="AV206" s="282">
        <f t="shared" ca="1" si="11"/>
        <v>3.8713297619047621E-3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0.94</v>
      </c>
      <c r="H207" s="263">
        <v>0.96</v>
      </c>
      <c r="I207" s="263">
        <v>0.94799999999999995</v>
      </c>
      <c r="J207" s="263">
        <v>0.94799999999999995</v>
      </c>
      <c r="K207" s="263">
        <v>0.94</v>
      </c>
      <c r="L207" s="263">
        <v>0.91800000000000004</v>
      </c>
      <c r="M207" s="263">
        <v>0.91</v>
      </c>
      <c r="N207" s="263">
        <v>0.91800000000000004</v>
      </c>
      <c r="O207" s="263">
        <v>0.91800000000000004</v>
      </c>
      <c r="P207" s="263">
        <v>0.91200000000000003</v>
      </c>
      <c r="Q207" s="263">
        <v>0.9</v>
      </c>
      <c r="R207" s="263">
        <v>0.92800000000000005</v>
      </c>
      <c r="S207" s="263">
        <v>0.9</v>
      </c>
      <c r="T207" s="263">
        <v>0.89200000000000002</v>
      </c>
      <c r="U207" s="263">
        <v>0.89</v>
      </c>
      <c r="V207" s="263">
        <v>0.90200000000000002</v>
      </c>
      <c r="W207" s="263">
        <v>0.90800000000000003</v>
      </c>
      <c r="X207" s="263">
        <v>0.88800000000000001</v>
      </c>
      <c r="Y207" s="263">
        <v>0.89</v>
      </c>
      <c r="Z207" s="265">
        <f ca="1">[1]ExtEntry!$H7</f>
        <v>0.89</v>
      </c>
      <c r="AB207" s="282">
        <v>-1.0553000000000017E-2</v>
      </c>
      <c r="AC207" s="282">
        <v>-1.4365000000000024E-2</v>
      </c>
      <c r="AD207" s="282">
        <v>-2.5118000000000008E-2</v>
      </c>
      <c r="AE207" s="282">
        <v>-1.208600000000001E-2</v>
      </c>
      <c r="AF207" s="282">
        <v>-2.904000000000001E-2</v>
      </c>
      <c r="AG207" s="282">
        <v>-1.3089000000000019E-2</v>
      </c>
      <c r="AH207" s="282">
        <v>-5.2014000000000005E-2</v>
      </c>
      <c r="AI207" s="282">
        <v>-7.6013000000000011E-2</v>
      </c>
      <c r="AJ207" s="282">
        <v>-7.7975000000000017E-2</v>
      </c>
      <c r="AK207" s="282">
        <v>-6.5072000000000019E-2</v>
      </c>
      <c r="AL207" s="282">
        <v>-9.4969999999999999E-2</v>
      </c>
      <c r="AM207" s="282">
        <v>-6.4649226190476175E-3</v>
      </c>
      <c r="AN207" s="282">
        <v>-3.6337380952380948E-3</v>
      </c>
      <c r="AO207" s="282">
        <v>-4.8075535714285703E-3</v>
      </c>
      <c r="AP207" s="282">
        <v>-2.1191071428571396E-4</v>
      </c>
      <c r="AQ207" s="282">
        <v>-1.4525476190476189E-3</v>
      </c>
      <c r="AR207" s="282">
        <v>-2.3584285714285703E-3</v>
      </c>
      <c r="AS207" s="282">
        <v>3.2083333333333399E-4</v>
      </c>
      <c r="AT207" s="282">
        <v>2.4954107142857143E-3</v>
      </c>
      <c r="AU207" s="282">
        <v>6.3011071428571439E-3</v>
      </c>
      <c r="AV207" s="282">
        <f t="shared" ca="1" si="11"/>
        <v>1.9985892857142867E-3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642.9</v>
      </c>
      <c r="G208" s="271">
        <v>636.9</v>
      </c>
      <c r="H208" s="271">
        <v>635.6</v>
      </c>
      <c r="I208" s="271">
        <v>642.29999999999995</v>
      </c>
      <c r="J208" s="271">
        <v>642.29999999999995</v>
      </c>
      <c r="K208" s="271">
        <v>638.20000000000005</v>
      </c>
      <c r="L208" s="271">
        <v>646.70000000000005</v>
      </c>
      <c r="M208" s="271">
        <v>650.6</v>
      </c>
      <c r="N208" s="271">
        <v>660.2</v>
      </c>
      <c r="O208" s="271">
        <v>654.5</v>
      </c>
      <c r="P208" s="271">
        <v>635.79999999999995</v>
      </c>
      <c r="Q208" s="271">
        <v>617</v>
      </c>
      <c r="R208" s="271">
        <v>630.1</v>
      </c>
      <c r="S208" s="271">
        <v>633.4</v>
      </c>
      <c r="T208" s="271">
        <v>662.5</v>
      </c>
      <c r="U208" s="271">
        <v>676.6</v>
      </c>
      <c r="V208" s="271">
        <v>683.2</v>
      </c>
      <c r="W208" s="271">
        <v>680.2</v>
      </c>
      <c r="X208" s="271">
        <v>686</v>
      </c>
      <c r="Y208" s="271">
        <v>689.8</v>
      </c>
      <c r="Z208" s="273">
        <f ca="1">[1]ExtEntry!$H8</f>
        <v>689.8</v>
      </c>
      <c r="AB208" s="286">
        <v>1.0170000000000235E-3</v>
      </c>
      <c r="AC208" s="286">
        <v>1.6445999999999999E-2</v>
      </c>
      <c r="AD208" s="286">
        <v>2.9556000000000006E-2</v>
      </c>
      <c r="AE208" s="286">
        <v>6.0669000000000001E-2</v>
      </c>
      <c r="AF208" s="286">
        <v>5.9333000000000018E-2</v>
      </c>
      <c r="AG208" s="286">
        <v>3.7124000000000011E-2</v>
      </c>
      <c r="AH208" s="286">
        <v>2.2566800000000005E-2</v>
      </c>
      <c r="AI208" s="286">
        <v>4.6457800000000014E-2</v>
      </c>
      <c r="AJ208" s="286">
        <v>1.9774800000000002E-2</v>
      </c>
      <c r="AK208" s="286">
        <v>3.9177999999999973E-3</v>
      </c>
      <c r="AL208" s="286">
        <v>2.5608800000000004E-2</v>
      </c>
      <c r="AM208" s="286">
        <v>-3.5834440476190475E-3</v>
      </c>
      <c r="AN208" s="286">
        <v>-4.076414285714286E-3</v>
      </c>
      <c r="AO208" s="286">
        <v>-1.6439083333333339E-3</v>
      </c>
      <c r="AP208" s="286">
        <v>-3.7920476190476254E-4</v>
      </c>
      <c r="AQ208" s="286">
        <v>4.5418809523809466E-4</v>
      </c>
      <c r="AR208" s="286">
        <v>7.9415833333333369E-4</v>
      </c>
      <c r="AS208" s="286">
        <v>2.0170571428571437E-3</v>
      </c>
      <c r="AT208" s="286">
        <v>3.6136285714285718E-3</v>
      </c>
      <c r="AU208" s="286">
        <v>8.3196642857142847E-3</v>
      </c>
      <c r="AV208" s="282">
        <f t="shared" ca="1" si="11"/>
        <v>6.6389380952380974E-3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78.22</v>
      </c>
      <c r="G209" s="271">
        <v>78.665000000000006</v>
      </c>
      <c r="H209" s="271">
        <v>79.4863</v>
      </c>
      <c r="I209" s="271">
        <v>79.569999999999993</v>
      </c>
      <c r="J209" s="271">
        <v>79.569999999999993</v>
      </c>
      <c r="K209" s="271">
        <v>80.52</v>
      </c>
      <c r="L209" s="271">
        <v>79.66</v>
      </c>
      <c r="M209" s="271">
        <v>80.05</v>
      </c>
      <c r="N209" s="271">
        <v>79.930000000000007</v>
      </c>
      <c r="O209" s="271">
        <v>79.66</v>
      </c>
      <c r="P209" s="271">
        <v>79.900000000000006</v>
      </c>
      <c r="Q209" s="271">
        <v>79.540000000000006</v>
      </c>
      <c r="R209" s="271">
        <v>81.62</v>
      </c>
      <c r="S209" s="271">
        <v>82.11</v>
      </c>
      <c r="T209" s="271">
        <v>81.78</v>
      </c>
      <c r="U209" s="271">
        <v>81.56</v>
      </c>
      <c r="V209" s="271">
        <v>81.22</v>
      </c>
      <c r="W209" s="271">
        <v>80.81</v>
      </c>
      <c r="X209" s="271">
        <v>81.165000000000006</v>
      </c>
      <c r="Y209" s="271">
        <v>79.56</v>
      </c>
      <c r="Z209" s="273">
        <f ca="1">[1]ExtEntry!$H9</f>
        <v>79.56</v>
      </c>
      <c r="AB209" s="282">
        <v>0.11221400000000002</v>
      </c>
      <c r="AC209" s="282">
        <v>0.11311100000000002</v>
      </c>
      <c r="AD209" s="282">
        <v>0.11347200000000003</v>
      </c>
      <c r="AE209" s="282">
        <v>0.12017800000000002</v>
      </c>
      <c r="AF209" s="282">
        <v>9.0110999999999997E-2</v>
      </c>
      <c r="AG209" s="282">
        <v>6.6677E-2</v>
      </c>
      <c r="AH209" s="282">
        <v>4.1183000000000011E-2</v>
      </c>
      <c r="AI209" s="282">
        <v>5.9923000000000004E-2</v>
      </c>
      <c r="AJ209" s="282">
        <v>6.9847000000000006E-2</v>
      </c>
      <c r="AK209" s="282">
        <v>3.1189000000000008E-2</v>
      </c>
      <c r="AL209" s="282">
        <v>7.5761999999999996E-2</v>
      </c>
      <c r="AM209" s="282">
        <v>-3.2950833333333326E-3</v>
      </c>
      <c r="AN209" s="282">
        <v>-2.0658630952380946E-3</v>
      </c>
      <c r="AO209" s="282">
        <v>-2.0881130952380943E-3</v>
      </c>
      <c r="AP209" s="282">
        <v>-4.4697023809523763E-4</v>
      </c>
      <c r="AQ209" s="282">
        <v>-1.7542202380952387E-3</v>
      </c>
      <c r="AR209" s="282">
        <v>-1.4915416666666662E-3</v>
      </c>
      <c r="AS209" s="282">
        <v>-1.7010535714285717E-3</v>
      </c>
      <c r="AT209" s="282">
        <v>-8.8382738095238141E-4</v>
      </c>
      <c r="AU209" s="282">
        <v>-9.7348809523809541E-4</v>
      </c>
      <c r="AV209" s="282">
        <f t="shared" ca="1" si="11"/>
        <v>-3.3225714285714291E-3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1.7849999999999999</v>
      </c>
      <c r="G210" s="271">
        <v>1.8793</v>
      </c>
      <c r="H210" s="271">
        <v>1.97</v>
      </c>
      <c r="I210" s="271">
        <v>1.9450000000000001</v>
      </c>
      <c r="J210" s="271">
        <v>1.9450000000000001</v>
      </c>
      <c r="K210" s="271">
        <v>1.9</v>
      </c>
      <c r="L210" s="271">
        <v>2.0099999999999998</v>
      </c>
      <c r="M210" s="271">
        <v>2.06</v>
      </c>
      <c r="N210" s="271">
        <v>2.02</v>
      </c>
      <c r="O210" s="271">
        <v>2.0487000000000002</v>
      </c>
      <c r="P210" s="271">
        <v>2.02</v>
      </c>
      <c r="Q210" s="271">
        <v>1.88</v>
      </c>
      <c r="R210" s="271">
        <v>1.8998999999999999</v>
      </c>
      <c r="S210" s="271">
        <v>1.89</v>
      </c>
      <c r="T210" s="271">
        <v>1.85</v>
      </c>
      <c r="U210" s="271">
        <v>1.94</v>
      </c>
      <c r="V210" s="271">
        <v>1.89</v>
      </c>
      <c r="W210" s="271">
        <v>1.93</v>
      </c>
      <c r="X210" s="271">
        <v>2.0350000000000001</v>
      </c>
      <c r="Y210" s="271">
        <v>2.0699999999999998</v>
      </c>
      <c r="Z210" s="273">
        <f ca="1">[1]ExtEntry!$H10</f>
        <v>2.0699999999999998</v>
      </c>
      <c r="AB210" s="286">
        <v>3.0818999999999985E-2</v>
      </c>
      <c r="AC210" s="286">
        <v>1.6998000000000006E-2</v>
      </c>
      <c r="AD210" s="286">
        <v>-3.2393999999999985E-2</v>
      </c>
      <c r="AE210" s="286">
        <v>-8.1461999999999993E-2</v>
      </c>
      <c r="AF210" s="286">
        <v>-9.4270999999999994E-2</v>
      </c>
      <c r="AG210" s="286">
        <v>-0.10508599999999998</v>
      </c>
      <c r="AH210" s="286">
        <v>-0.14468999999999999</v>
      </c>
      <c r="AI210" s="286">
        <v>-0.1341</v>
      </c>
      <c r="AJ210" s="286">
        <v>-0.111263</v>
      </c>
      <c r="AK210" s="286">
        <v>-8.0925999999999998E-2</v>
      </c>
      <c r="AL210" s="286">
        <v>-8.5851999999999998E-2</v>
      </c>
      <c r="AM210" s="286">
        <v>-5.4867500000000003E-3</v>
      </c>
      <c r="AN210" s="286">
        <v>-2.041005952380953E-3</v>
      </c>
      <c r="AO210" s="286">
        <v>3.1119226190476196E-3</v>
      </c>
      <c r="AP210" s="286">
        <v>1.9918511904761897E-3</v>
      </c>
      <c r="AQ210" s="286">
        <v>-3.8299702380952374E-3</v>
      </c>
      <c r="AR210" s="286">
        <v>-3.3971845238095245E-3</v>
      </c>
      <c r="AS210" s="286">
        <v>-4.4363988095238093E-3</v>
      </c>
      <c r="AT210" s="286">
        <v>2.5689880952380929E-4</v>
      </c>
      <c r="AU210" s="286">
        <v>7.8233452380952386E-3</v>
      </c>
      <c r="AV210" s="282">
        <f t="shared" ca="1" si="11"/>
        <v>9.3374404761904766E-3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3.65</v>
      </c>
      <c r="G211" s="271">
        <v>3.13</v>
      </c>
      <c r="H211" s="271">
        <v>3.14</v>
      </c>
      <c r="I211" s="271">
        <v>3.06</v>
      </c>
      <c r="J211" s="271">
        <v>3.06</v>
      </c>
      <c r="K211" s="271">
        <v>3.21</v>
      </c>
      <c r="L211" s="271">
        <v>3.43</v>
      </c>
      <c r="M211" s="271">
        <v>3.29</v>
      </c>
      <c r="N211" s="271">
        <v>3.15</v>
      </c>
      <c r="O211" s="271">
        <v>3.24</v>
      </c>
      <c r="P211" s="271">
        <v>3.13</v>
      </c>
      <c r="Q211" s="271">
        <v>3.05</v>
      </c>
      <c r="R211" s="271">
        <v>2.88</v>
      </c>
      <c r="S211" s="271">
        <v>2.85</v>
      </c>
      <c r="T211" s="271">
        <v>2.82</v>
      </c>
      <c r="U211" s="271">
        <v>2.91</v>
      </c>
      <c r="V211" s="271">
        <v>2.91</v>
      </c>
      <c r="W211" s="271">
        <v>2.93</v>
      </c>
      <c r="X211" s="271">
        <v>2.97</v>
      </c>
      <c r="Y211" s="271">
        <v>2.98</v>
      </c>
      <c r="Z211" s="273">
        <f ca="1">[1]ExtEntry!$H11</f>
        <v>2.98</v>
      </c>
      <c r="AB211" s="282">
        <v>0.22126239999999997</v>
      </c>
      <c r="AC211" s="282">
        <v>9.0941399999999978E-2</v>
      </c>
      <c r="AD211" s="282">
        <v>4.8301399999999967E-2</v>
      </c>
      <c r="AE211" s="282">
        <v>1.5632399999999973E-2</v>
      </c>
      <c r="AF211" s="282">
        <v>3.1819399999999984E-2</v>
      </c>
      <c r="AG211" s="282">
        <v>0.13207139999999998</v>
      </c>
      <c r="AH211" s="282">
        <v>-5.2260600000000025E-2</v>
      </c>
      <c r="AI211" s="282">
        <v>-3.7520600000000029E-2</v>
      </c>
      <c r="AJ211" s="282">
        <v>-2.1249600000000028E-2</v>
      </c>
      <c r="AK211" s="282">
        <v>-1.5934600000000049E-2</v>
      </c>
      <c r="AL211" s="282">
        <v>5.4116399999999981E-2</v>
      </c>
      <c r="AM211" s="282">
        <v>-4.4514416666666633E-3</v>
      </c>
      <c r="AN211" s="282">
        <v>-7.2527452380952368E-3</v>
      </c>
      <c r="AO211" s="282">
        <v>-2.0157840476190476E-2</v>
      </c>
      <c r="AP211" s="282">
        <v>-1.8019763095238093E-2</v>
      </c>
      <c r="AQ211" s="282">
        <v>-9.8807750000000031E-3</v>
      </c>
      <c r="AR211" s="282">
        <v>-3.8057928571428594E-3</v>
      </c>
      <c r="AS211" s="282">
        <v>-6.8912619047619087E-3</v>
      </c>
      <c r="AT211" s="282">
        <v>-6.1639642857142856E-3</v>
      </c>
      <c r="AU211" s="282">
        <v>-2.8129166666666658E-3</v>
      </c>
      <c r="AV211" s="282">
        <f t="shared" ca="1" si="11"/>
        <v>2.5996845238095223E-3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94.444999999999993</v>
      </c>
      <c r="G212" s="271">
        <v>94.17</v>
      </c>
      <c r="H212" s="271">
        <v>93.91</v>
      </c>
      <c r="I212" s="271">
        <v>93.495000000000005</v>
      </c>
      <c r="J212" s="271">
        <v>93.495000000000005</v>
      </c>
      <c r="K212" s="271">
        <v>93.135000000000005</v>
      </c>
      <c r="L212" s="271">
        <v>94.96</v>
      </c>
      <c r="M212" s="271">
        <v>95.73</v>
      </c>
      <c r="N212" s="271">
        <v>96.9</v>
      </c>
      <c r="O212" s="271">
        <v>96.99</v>
      </c>
      <c r="P212" s="271">
        <v>96.57</v>
      </c>
      <c r="Q212" s="271">
        <v>93.655000000000001</v>
      </c>
      <c r="R212" s="271">
        <v>94.72</v>
      </c>
      <c r="S212" s="271">
        <v>95.03</v>
      </c>
      <c r="T212" s="271">
        <v>97.08</v>
      </c>
      <c r="U212" s="271">
        <v>95.91</v>
      </c>
      <c r="V212" s="271">
        <v>97.32</v>
      </c>
      <c r="W212" s="271">
        <v>97.185000000000002</v>
      </c>
      <c r="X212" s="271">
        <v>98.775000000000006</v>
      </c>
      <c r="Y212" s="271">
        <v>99.48</v>
      </c>
      <c r="Z212" s="273">
        <f ca="1">[1]ExtEntry!$H12</f>
        <v>99.48</v>
      </c>
      <c r="AB212" s="286">
        <v>2.9098000000000013E-2</v>
      </c>
      <c r="AC212" s="286">
        <v>1.4080000000000007E-2</v>
      </c>
      <c r="AD212" s="286">
        <v>1.3325000000000007E-2</v>
      </c>
      <c r="AE212" s="286">
        <v>1.4191000000000013E-2</v>
      </c>
      <c r="AF212" s="286">
        <v>-1.4673999999999993E-2</v>
      </c>
      <c r="AG212" s="286">
        <v>-4.2297999999999995E-2</v>
      </c>
      <c r="AH212" s="286">
        <v>-3.9300999999999989E-2</v>
      </c>
      <c r="AI212" s="286">
        <v>-3.8849999999999996E-2</v>
      </c>
      <c r="AJ212" s="286">
        <v>-2.1473999999999986E-2</v>
      </c>
      <c r="AK212" s="286">
        <v>-3.4682999999999992E-2</v>
      </c>
      <c r="AL212" s="286">
        <v>-1.5450999999999991E-2</v>
      </c>
      <c r="AM212" s="286">
        <v>-2.3764166666666664E-3</v>
      </c>
      <c r="AN212" s="286">
        <v>-2.4138571428571425E-3</v>
      </c>
      <c r="AO212" s="286">
        <v>-1.0532619047619049E-3</v>
      </c>
      <c r="AP212" s="286">
        <v>7.2519642857142867E-4</v>
      </c>
      <c r="AQ212" s="286">
        <v>5.4261309523809546E-4</v>
      </c>
      <c r="AR212" s="286">
        <v>-3.1333333333333343E-4</v>
      </c>
      <c r="AS212" s="286">
        <v>3.507440476190483E-4</v>
      </c>
      <c r="AT212" s="286">
        <v>1.7410714285714284E-3</v>
      </c>
      <c r="AU212" s="286">
        <v>7.7694523809523812E-3</v>
      </c>
      <c r="AV212" s="282">
        <f t="shared" ca="1" si="11"/>
        <v>8.0495476190476194E-3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69.444999999999993</v>
      </c>
      <c r="G213" s="271">
        <v>67.051000000000002</v>
      </c>
      <c r="H213" s="271">
        <v>66.459999999999994</v>
      </c>
      <c r="I213" s="271">
        <v>66.877799999999993</v>
      </c>
      <c r="J213" s="271">
        <v>66.877799999999993</v>
      </c>
      <c r="K213" s="271">
        <v>67.11</v>
      </c>
      <c r="L213" s="271">
        <v>67.14</v>
      </c>
      <c r="M213" s="271">
        <v>68.39</v>
      </c>
      <c r="N213" s="271">
        <v>68.44</v>
      </c>
      <c r="O213" s="271">
        <v>68.775000000000006</v>
      </c>
      <c r="P213" s="271">
        <v>69.09</v>
      </c>
      <c r="Q213" s="271">
        <v>67.849999999999994</v>
      </c>
      <c r="R213" s="271">
        <v>67.594999999999999</v>
      </c>
      <c r="S213" s="271">
        <v>67.67</v>
      </c>
      <c r="T213" s="271">
        <v>67.989999999999995</v>
      </c>
      <c r="U213" s="271">
        <v>66.88</v>
      </c>
      <c r="V213" s="271">
        <v>67.34</v>
      </c>
      <c r="W213" s="271">
        <v>68.131</v>
      </c>
      <c r="X213" s="271">
        <v>67.775000000000006</v>
      </c>
      <c r="Y213" s="271">
        <v>66.53</v>
      </c>
      <c r="Z213" s="273">
        <f ca="1">[1]ExtEntry!$H13</f>
        <v>66.53</v>
      </c>
      <c r="AB213" s="282">
        <v>9.3564000000000008E-3</v>
      </c>
      <c r="AC213" s="282">
        <v>-2.3608999999999998E-2</v>
      </c>
      <c r="AD213" s="282">
        <v>-2.6294999999999999E-2</v>
      </c>
      <c r="AE213" s="282">
        <v>-3.1634999999999996E-2</v>
      </c>
      <c r="AF213" s="282">
        <v>-3.9461999999999997E-2</v>
      </c>
      <c r="AG213" s="282">
        <v>-4.0968000000000004E-2</v>
      </c>
      <c r="AH213" s="282">
        <v>-3.8833000000000013E-2</v>
      </c>
      <c r="AI213" s="282">
        <v>-2.6072000000000015E-2</v>
      </c>
      <c r="AJ213" s="282">
        <v>-1.4130900000000004E-2</v>
      </c>
      <c r="AK213" s="282">
        <v>-1.3870900000000019E-2</v>
      </c>
      <c r="AL213" s="282">
        <v>-1.5911900000000007E-2</v>
      </c>
      <c r="AM213" s="282">
        <v>1.2445434523809524E-3</v>
      </c>
      <c r="AN213" s="282">
        <v>4.6681726190476124E-4</v>
      </c>
      <c r="AO213" s="282">
        <v>2.2367440476190399E-4</v>
      </c>
      <c r="AP213" s="282">
        <v>2.4943035714285747E-4</v>
      </c>
      <c r="AQ213" s="282">
        <v>-9.0905178571428543E-4</v>
      </c>
      <c r="AR213" s="282">
        <v>-2.6526071428571371E-4</v>
      </c>
      <c r="AS213" s="282">
        <v>1.2205428571428585E-3</v>
      </c>
      <c r="AT213" s="282">
        <v>7.0310238095238199E-4</v>
      </c>
      <c r="AU213" s="282">
        <v>2.0989535714285722E-3</v>
      </c>
      <c r="AV213" s="282">
        <f t="shared" ca="1" si="11"/>
        <v>6.4225714285714389E-4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66.44</v>
      </c>
      <c r="G214" s="271">
        <v>68.599999999999994</v>
      </c>
      <c r="H214" s="271">
        <v>70.760000000000005</v>
      </c>
      <c r="I214" s="271">
        <v>70.81</v>
      </c>
      <c r="J214" s="271">
        <v>70.81</v>
      </c>
      <c r="K214" s="271">
        <v>70.819999999999993</v>
      </c>
      <c r="L214" s="271">
        <v>71.204999999999998</v>
      </c>
      <c r="M214" s="271">
        <v>71.55</v>
      </c>
      <c r="N214" s="271">
        <v>71.91</v>
      </c>
      <c r="O214" s="271">
        <v>71.650000000000006</v>
      </c>
      <c r="P214" s="271">
        <v>73.150000000000006</v>
      </c>
      <c r="Q214" s="271">
        <v>74.09</v>
      </c>
      <c r="R214" s="271">
        <v>73.430000000000007</v>
      </c>
      <c r="S214" s="271">
        <v>73.319999999999993</v>
      </c>
      <c r="T214" s="271">
        <v>73.69</v>
      </c>
      <c r="U214" s="271">
        <v>70.260000000000005</v>
      </c>
      <c r="V214" s="271">
        <v>71.739999999999995</v>
      </c>
      <c r="W214" s="271">
        <v>73.98</v>
      </c>
      <c r="X214" s="271">
        <v>74.674999999999997</v>
      </c>
      <c r="Y214" s="271">
        <v>74.989999999999995</v>
      </c>
      <c r="Z214" s="273">
        <f ca="1">[1]ExtEntry!$H14</f>
        <v>74.989999999999995</v>
      </c>
      <c r="AB214" s="286">
        <v>7.1990899999999997E-2</v>
      </c>
      <c r="AC214" s="286">
        <v>0.11849690000000002</v>
      </c>
      <c r="AD214" s="286">
        <v>0.14812789999999998</v>
      </c>
      <c r="AE214" s="286">
        <v>0.1624139</v>
      </c>
      <c r="AF214" s="286">
        <v>0.15892889999999998</v>
      </c>
      <c r="AG214" s="286">
        <v>0.14420889999999997</v>
      </c>
      <c r="AH214" s="286">
        <v>0.1929979</v>
      </c>
      <c r="AI214" s="286">
        <v>0.1642409</v>
      </c>
      <c r="AJ214" s="286">
        <v>0.18673490000000001</v>
      </c>
      <c r="AK214" s="286">
        <v>0.14417489999999999</v>
      </c>
      <c r="AL214" s="286">
        <v>0.16106489999999996</v>
      </c>
      <c r="AM214" s="286">
        <v>-3.492124999999997E-3</v>
      </c>
      <c r="AN214" s="286">
        <v>-5.037845238095238E-3</v>
      </c>
      <c r="AO214" s="286">
        <v>-5.9322916666666673E-3</v>
      </c>
      <c r="AP214" s="286">
        <v>-3.860375000000001E-3</v>
      </c>
      <c r="AQ214" s="286">
        <v>-8.0513988095238104E-3</v>
      </c>
      <c r="AR214" s="286">
        <v>-7.4700535714285702E-3</v>
      </c>
      <c r="AS214" s="286">
        <v>-3.1329523809523799E-3</v>
      </c>
      <c r="AT214" s="286">
        <v>-4.6032738095238088E-3</v>
      </c>
      <c r="AU214" s="286">
        <v>-5.4301547619047619E-3</v>
      </c>
      <c r="AV214" s="282">
        <f t="shared" ca="1" si="11"/>
        <v>-3.7342380952380952E-3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2.06</v>
      </c>
      <c r="G215" s="271">
        <v>2.0901000000000001</v>
      </c>
      <c r="H215" s="271">
        <v>2.0099999999999998</v>
      </c>
      <c r="I215" s="271">
        <v>1.9850000000000001</v>
      </c>
      <c r="J215" s="271">
        <v>1.9850000000000001</v>
      </c>
      <c r="K215" s="271">
        <v>1.97</v>
      </c>
      <c r="L215" s="271">
        <v>2.1749999999999998</v>
      </c>
      <c r="M215" s="271">
        <v>2.145</v>
      </c>
      <c r="N215" s="271">
        <v>2.5649999999999999</v>
      </c>
      <c r="O215" s="271">
        <v>2.4241999999999999</v>
      </c>
      <c r="P215" s="271">
        <v>2.2999999999999998</v>
      </c>
      <c r="Q215" s="271">
        <v>2.2050000000000001</v>
      </c>
      <c r="R215" s="271">
        <v>2.1202999999999999</v>
      </c>
      <c r="S215" s="271">
        <v>2.0499999999999998</v>
      </c>
      <c r="T215" s="271">
        <v>2.0499999999999998</v>
      </c>
      <c r="U215" s="271">
        <v>2.17</v>
      </c>
      <c r="V215" s="271">
        <v>2.1</v>
      </c>
      <c r="W215" s="271">
        <v>2.12</v>
      </c>
      <c r="X215" s="271">
        <v>2.25</v>
      </c>
      <c r="Y215" s="271">
        <v>2.2250000000000001</v>
      </c>
      <c r="Z215" s="273">
        <f ca="1">[1]ExtEntry!$H15</f>
        <v>2.2250000000000001</v>
      </c>
      <c r="AB215" s="282">
        <v>0.16109699999999999</v>
      </c>
      <c r="AC215" s="282">
        <v>0.14370284999999997</v>
      </c>
      <c r="AD215" s="282">
        <v>9.2940849999999964E-2</v>
      </c>
      <c r="AE215" s="282">
        <v>8.6108499999999477E-3</v>
      </c>
      <c r="AF215" s="282">
        <v>-4.1628150000000058E-2</v>
      </c>
      <c r="AG215" s="282">
        <v>-4.1628150000000058E-2</v>
      </c>
      <c r="AH215" s="282">
        <v>1.7523849999999987E-2</v>
      </c>
      <c r="AI215" s="282">
        <v>4.6681849999999928E-2</v>
      </c>
      <c r="AJ215" s="282">
        <v>0.25359384999999995</v>
      </c>
      <c r="AK215" s="282">
        <v>0.2064988499999999</v>
      </c>
      <c r="AL215" s="282">
        <v>0.18480784999999994</v>
      </c>
      <c r="AM215" s="282">
        <v>-5.0498678571428554E-3</v>
      </c>
      <c r="AN215" s="282">
        <v>-1.7654988095238073E-3</v>
      </c>
      <c r="AO215" s="282">
        <v>-5.6359095238095215E-3</v>
      </c>
      <c r="AP215" s="282">
        <v>-7.5027785714285675E-3</v>
      </c>
      <c r="AQ215" s="282">
        <v>-5.1760642857142831E-3</v>
      </c>
      <c r="AR215" s="282">
        <v>-3.0250379761904759E-2</v>
      </c>
      <c r="AS215" s="282">
        <v>-2.1394433333333334E-2</v>
      </c>
      <c r="AT215" s="282">
        <v>-1.1746552380952378E-2</v>
      </c>
      <c r="AU215" s="282">
        <v>6.761191666666666E-3</v>
      </c>
      <c r="AV215" s="282">
        <f t="shared" ca="1" si="11"/>
        <v>7.549251190476192E-3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116.205</v>
      </c>
      <c r="G216" s="271">
        <v>116.375</v>
      </c>
      <c r="H216" s="271">
        <v>116.345</v>
      </c>
      <c r="I216" s="271">
        <v>116.145</v>
      </c>
      <c r="J216" s="271">
        <v>116.145</v>
      </c>
      <c r="K216" s="271">
        <v>117.06</v>
      </c>
      <c r="L216" s="271">
        <v>117.74</v>
      </c>
      <c r="M216" s="271">
        <v>117.65</v>
      </c>
      <c r="N216" s="271">
        <v>118.07</v>
      </c>
      <c r="O216" s="271">
        <v>117.08</v>
      </c>
      <c r="P216" s="271">
        <v>118.38</v>
      </c>
      <c r="Q216" s="271">
        <v>116.79</v>
      </c>
      <c r="R216" s="271">
        <v>116.64</v>
      </c>
      <c r="S216" s="271">
        <v>117.38</v>
      </c>
      <c r="T216" s="271">
        <v>118.81</v>
      </c>
      <c r="U216" s="271">
        <v>118.84</v>
      </c>
      <c r="V216" s="271">
        <v>117.36</v>
      </c>
      <c r="W216" s="271">
        <v>115.82</v>
      </c>
      <c r="X216" s="271">
        <v>117.145</v>
      </c>
      <c r="Y216" s="271">
        <v>115.97</v>
      </c>
      <c r="Z216" s="273">
        <f ca="1">[1]ExtEntry!$H16</f>
        <v>115.97</v>
      </c>
      <c r="AB216" s="286">
        <v>-6.9537999999999989E-2</v>
      </c>
      <c r="AC216" s="286">
        <v>-5.9733100000000004E-2</v>
      </c>
      <c r="AD216" s="286">
        <v>-5.4587099999999993E-2</v>
      </c>
      <c r="AE216" s="286">
        <v>-5.3285099999999995E-2</v>
      </c>
      <c r="AF216" s="286">
        <v>-7.2289099999999995E-2</v>
      </c>
      <c r="AG216" s="286">
        <v>-8.1023099999999987E-2</v>
      </c>
      <c r="AH216" s="286">
        <v>-8.2556100000000007E-2</v>
      </c>
      <c r="AI216" s="286">
        <v>-7.937580000000001E-2</v>
      </c>
      <c r="AJ216" s="286">
        <v>-6.6667799999999985E-2</v>
      </c>
      <c r="AK216" s="286">
        <v>-7.2718799999999986E-2</v>
      </c>
      <c r="AL216" s="286">
        <v>-6.2747799999999992E-2</v>
      </c>
      <c r="AM216" s="286">
        <v>2.0356964285714275E-4</v>
      </c>
      <c r="AN216" s="286">
        <v>-1.4359958333333336E-3</v>
      </c>
      <c r="AO216" s="286">
        <v>-2.0671386904761902E-3</v>
      </c>
      <c r="AP216" s="286">
        <v>-2.9762678571428535E-4</v>
      </c>
      <c r="AQ216" s="286">
        <v>-8.9137261904761848E-4</v>
      </c>
      <c r="AR216" s="286">
        <v>-3.4673250000000007E-3</v>
      </c>
      <c r="AS216" s="286">
        <v>-3.6057119047619057E-3</v>
      </c>
      <c r="AT216" s="286">
        <v>-3.4229261904761914E-3</v>
      </c>
      <c r="AU216" s="286">
        <v>-1.9742238095238097E-3</v>
      </c>
      <c r="AV216" s="282">
        <f t="shared" ca="1" si="11"/>
        <v>-1.0578928571428536E-4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26.64</v>
      </c>
      <c r="G217" s="271">
        <v>26.99</v>
      </c>
      <c r="H217" s="271">
        <v>26.7</v>
      </c>
      <c r="I217" s="271">
        <v>27</v>
      </c>
      <c r="J217" s="271">
        <v>27</v>
      </c>
      <c r="K217" s="271">
        <v>27.29</v>
      </c>
      <c r="L217" s="271">
        <v>26.79</v>
      </c>
      <c r="M217" s="271">
        <v>26.45</v>
      </c>
      <c r="N217" s="271">
        <v>26.84</v>
      </c>
      <c r="O217" s="271">
        <v>26.98</v>
      </c>
      <c r="P217" s="271">
        <v>26.69</v>
      </c>
      <c r="Q217" s="271">
        <v>26.34</v>
      </c>
      <c r="R217" s="271">
        <v>26.45</v>
      </c>
      <c r="S217" s="271">
        <v>26.56</v>
      </c>
      <c r="T217" s="271">
        <v>26.86</v>
      </c>
      <c r="U217" s="271">
        <v>27.38</v>
      </c>
      <c r="V217" s="271">
        <v>27.83</v>
      </c>
      <c r="W217" s="271">
        <v>27.36</v>
      </c>
      <c r="X217" s="271">
        <v>27.29</v>
      </c>
      <c r="Y217" s="271">
        <v>27.56</v>
      </c>
      <c r="Z217" s="273">
        <f ca="1">[1]ExtEntry!$H17</f>
        <v>27.56</v>
      </c>
      <c r="AB217" s="282">
        <v>-0.19537359999999998</v>
      </c>
      <c r="AC217" s="282">
        <v>-0.17480559999999998</v>
      </c>
      <c r="AD217" s="282">
        <v>-0.18124699999999996</v>
      </c>
      <c r="AE217" s="282">
        <v>-0.15733</v>
      </c>
      <c r="AF217" s="282">
        <v>-0.15124699999999999</v>
      </c>
      <c r="AG217" s="282">
        <v>-0.170515</v>
      </c>
      <c r="AH217" s="282">
        <v>-9.9270999999999998E-2</v>
      </c>
      <c r="AI217" s="282">
        <v>-0.12799699999999994</v>
      </c>
      <c r="AJ217" s="282">
        <v>-0.10989400000000001</v>
      </c>
      <c r="AK217" s="282">
        <v>-8.7495000000000017E-2</v>
      </c>
      <c r="AL217" s="282">
        <v>-7.4513000000000024E-2</v>
      </c>
      <c r="AM217" s="282">
        <v>3.5861130952380953E-3</v>
      </c>
      <c r="AN217" s="282">
        <v>1.063083333333333E-3</v>
      </c>
      <c r="AO217" s="282">
        <v>-1.8938214285714309E-4</v>
      </c>
      <c r="AP217" s="282">
        <v>1.4005940476190476E-3</v>
      </c>
      <c r="AQ217" s="282">
        <v>4.266980952380952E-3</v>
      </c>
      <c r="AR217" s="282">
        <v>3.7994214285714282E-3</v>
      </c>
      <c r="AS217" s="282">
        <v>1.7197547619047617E-3</v>
      </c>
      <c r="AT217" s="282">
        <v>5.104154761904759E-4</v>
      </c>
      <c r="AU217" s="282">
        <v>1.4340583333333334E-3</v>
      </c>
      <c r="AV217" s="282">
        <f t="shared" ca="1" si="11"/>
        <v>2.0969630952380959E-3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133.25</v>
      </c>
      <c r="G218" s="271">
        <v>135.02500000000001</v>
      </c>
      <c r="H218" s="271">
        <v>136.07</v>
      </c>
      <c r="I218" s="271">
        <v>136.13</v>
      </c>
      <c r="J218" s="271">
        <v>136.13</v>
      </c>
      <c r="K218" s="271">
        <v>137.47</v>
      </c>
      <c r="L218" s="271">
        <v>137.33000000000001</v>
      </c>
      <c r="M218" s="271">
        <v>138.68</v>
      </c>
      <c r="N218" s="271">
        <v>137.56</v>
      </c>
      <c r="O218" s="271">
        <v>134.9999</v>
      </c>
      <c r="P218" s="271">
        <v>137.76</v>
      </c>
      <c r="Q218" s="271">
        <v>136.04</v>
      </c>
      <c r="R218" s="271">
        <v>136.55000000000001</v>
      </c>
      <c r="S218" s="271">
        <v>135.97</v>
      </c>
      <c r="T218" s="271">
        <v>135.56</v>
      </c>
      <c r="U218" s="271">
        <v>134.52000000000001</v>
      </c>
      <c r="V218" s="271">
        <v>136.71</v>
      </c>
      <c r="W218" s="271">
        <v>132.26</v>
      </c>
      <c r="X218" s="271">
        <v>133.38</v>
      </c>
      <c r="Y218" s="271">
        <v>133.09</v>
      </c>
      <c r="Z218" s="273">
        <f ca="1">[1]ExtEntry!$H18</f>
        <v>133.09</v>
      </c>
      <c r="AB218" s="286">
        <v>-9.7589499999999996E-2</v>
      </c>
      <c r="AC218" s="286">
        <v>-9.0772499999999978E-2</v>
      </c>
      <c r="AD218" s="286">
        <v>-8.369149999999996E-2</v>
      </c>
      <c r="AE218" s="286">
        <v>-4.9821499999999998E-2</v>
      </c>
      <c r="AF218" s="286">
        <v>-6.4291499999999974E-2</v>
      </c>
      <c r="AG218" s="286">
        <v>-9.4595500000000013E-2</v>
      </c>
      <c r="AH218" s="286">
        <v>-7.2896499999999947E-2</v>
      </c>
      <c r="AI218" s="286">
        <v>-6.582949999999993E-2</v>
      </c>
      <c r="AJ218" s="286">
        <v>-7.4800999999999951E-2</v>
      </c>
      <c r="AK218" s="286">
        <v>-8.3752999999999952E-2</v>
      </c>
      <c r="AL218" s="286">
        <v>-4.1982999999999999E-2</v>
      </c>
      <c r="AM218" s="286">
        <v>4.5116071428571427E-4</v>
      </c>
      <c r="AN218" s="286">
        <v>-3.1177619047619044E-3</v>
      </c>
      <c r="AO218" s="286">
        <v>-4.4988571428571447E-3</v>
      </c>
      <c r="AP218" s="286">
        <v>-1.4876904761904754E-3</v>
      </c>
      <c r="AQ218" s="286">
        <v>-8.8969761904761895E-3</v>
      </c>
      <c r="AR218" s="286">
        <v>-7.0204999999999998E-3</v>
      </c>
      <c r="AS218" s="286">
        <v>-6.4670952380952388E-3</v>
      </c>
      <c r="AT218" s="286">
        <v>-7.5670595238095245E-3</v>
      </c>
      <c r="AU218" s="286">
        <v>-4.9902797619047626E-3</v>
      </c>
      <c r="AV218" s="282">
        <f t="shared" ca="1" si="11"/>
        <v>-3.7730952380952382E-3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13.685</v>
      </c>
      <c r="G219" s="271">
        <v>13.86</v>
      </c>
      <c r="H219" s="271">
        <v>13.87</v>
      </c>
      <c r="I219" s="271">
        <v>13.965</v>
      </c>
      <c r="J219" s="271">
        <v>13.965</v>
      </c>
      <c r="K219" s="271">
        <v>13.7</v>
      </c>
      <c r="L219" s="271">
        <v>14.083</v>
      </c>
      <c r="M219" s="271">
        <v>14.15</v>
      </c>
      <c r="N219" s="271">
        <v>14.31</v>
      </c>
      <c r="O219" s="271">
        <v>14.170299999999999</v>
      </c>
      <c r="P219" s="271">
        <v>14.45</v>
      </c>
      <c r="Q219" s="271">
        <v>14.14</v>
      </c>
      <c r="R219" s="271">
        <v>14.28</v>
      </c>
      <c r="S219" s="271">
        <v>14.5</v>
      </c>
      <c r="T219" s="271">
        <v>14.5</v>
      </c>
      <c r="U219" s="271">
        <v>14.65</v>
      </c>
      <c r="V219" s="271">
        <v>14.43</v>
      </c>
      <c r="W219" s="271">
        <v>14.22</v>
      </c>
      <c r="X219" s="271">
        <v>14.55</v>
      </c>
      <c r="Y219" s="271">
        <v>14.03</v>
      </c>
      <c r="Z219" s="273">
        <f ca="1">[1]ExtEntry!$H19</f>
        <v>14.03</v>
      </c>
      <c r="AB219" s="282">
        <v>-0.18322999999999995</v>
      </c>
      <c r="AC219" s="282">
        <v>-0.17124299999999995</v>
      </c>
      <c r="AD219" s="282">
        <v>-0.17069199999999995</v>
      </c>
      <c r="AE219" s="282">
        <v>-0.16467899999999996</v>
      </c>
      <c r="AF219" s="282">
        <v>-0.17511699999999997</v>
      </c>
      <c r="AG219" s="282">
        <v>-0.20811499999999997</v>
      </c>
      <c r="AH219" s="282">
        <v>-0.20365099999999997</v>
      </c>
      <c r="AI219" s="282">
        <v>-0.17951599999999998</v>
      </c>
      <c r="AJ219" s="282">
        <v>-0.16261499999999998</v>
      </c>
      <c r="AK219" s="282">
        <v>-0.14406799999999997</v>
      </c>
      <c r="AL219" s="282">
        <v>-0.11846199999999993</v>
      </c>
      <c r="AM219" s="282">
        <v>9.1349999999999851E-4</v>
      </c>
      <c r="AN219" s="282">
        <v>-2.3847499999999997E-3</v>
      </c>
      <c r="AO219" s="282">
        <v>-1.6925238095238093E-3</v>
      </c>
      <c r="AP219" s="282">
        <v>-6.2031547619047656E-4</v>
      </c>
      <c r="AQ219" s="282">
        <v>-1.8130535714285718E-3</v>
      </c>
      <c r="AR219" s="282">
        <v>-4.1368869047619054E-3</v>
      </c>
      <c r="AS219" s="282">
        <v>-4.1505714285714279E-3</v>
      </c>
      <c r="AT219" s="282">
        <v>-5.6961190476190488E-3</v>
      </c>
      <c r="AU219" s="282">
        <v>-4.242107142857143E-3</v>
      </c>
      <c r="AV219" s="282">
        <f t="shared" ca="1" si="11"/>
        <v>-4.7579761904761909E-3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15.984999999999999</v>
      </c>
      <c r="G220" s="271">
        <v>15.85</v>
      </c>
      <c r="H220" s="271">
        <v>15.715</v>
      </c>
      <c r="I220" s="271">
        <v>15.695</v>
      </c>
      <c r="J220" s="271">
        <v>15.695</v>
      </c>
      <c r="K220" s="271">
        <v>15.615</v>
      </c>
      <c r="L220" s="271">
        <v>15.414999999999999</v>
      </c>
      <c r="M220" s="271">
        <v>15.57</v>
      </c>
      <c r="N220" s="271">
        <v>15.675000000000001</v>
      </c>
      <c r="O220" s="271">
        <v>15.515000000000001</v>
      </c>
      <c r="P220" s="271">
        <v>15.105</v>
      </c>
      <c r="Q220" s="271">
        <v>14.675000000000001</v>
      </c>
      <c r="R220" s="271">
        <v>14.605</v>
      </c>
      <c r="S220" s="271">
        <v>15.015000000000001</v>
      </c>
      <c r="T220" s="271">
        <v>15.04</v>
      </c>
      <c r="U220" s="271">
        <v>15.345000000000001</v>
      </c>
      <c r="V220" s="271">
        <v>15.305</v>
      </c>
      <c r="W220" s="271">
        <v>15.33</v>
      </c>
      <c r="X220" s="271">
        <v>15.295</v>
      </c>
      <c r="Y220" s="271">
        <v>15.525</v>
      </c>
      <c r="Z220" s="273">
        <f ca="1">[1]ExtEntry!$H20</f>
        <v>15.525</v>
      </c>
      <c r="AB220" s="286">
        <v>3.6649999999999964E-4</v>
      </c>
      <c r="AC220" s="286">
        <v>-1.9427500000000007E-2</v>
      </c>
      <c r="AD220" s="286">
        <v>-4.320149999999999E-2</v>
      </c>
      <c r="AE220" s="286">
        <v>-4.6723500000000001E-2</v>
      </c>
      <c r="AF220" s="286">
        <v>-2.3921499999999998E-2</v>
      </c>
      <c r="AG220" s="286">
        <v>-2.1466500000000003E-2</v>
      </c>
      <c r="AH220" s="286">
        <v>-1.8373500000000004E-2</v>
      </c>
      <c r="AI220" s="286">
        <v>-5.4725000000000017E-3</v>
      </c>
      <c r="AJ220" s="286">
        <v>5.0775000000000022E-3</v>
      </c>
      <c r="AK220" s="286">
        <v>-1.40555E-2</v>
      </c>
      <c r="AL220" s="286">
        <v>-3.1453499999999995E-2</v>
      </c>
      <c r="AM220" s="286">
        <v>-2.1048452380952373E-3</v>
      </c>
      <c r="AN220" s="286">
        <v>-1.9939821428571428E-3</v>
      </c>
      <c r="AO220" s="286">
        <v>6.5680952380952349E-4</v>
      </c>
      <c r="AP220" s="286">
        <v>1.1196845238095232E-3</v>
      </c>
      <c r="AQ220" s="286">
        <v>1.1962797619047608E-3</v>
      </c>
      <c r="AR220" s="286">
        <v>-6.5702380952380873E-4</v>
      </c>
      <c r="AS220" s="286">
        <v>-7.7309523809523766E-5</v>
      </c>
      <c r="AT220" s="286">
        <v>7.743333333333339E-4</v>
      </c>
      <c r="AU220" s="286">
        <v>4.9237261904761902E-3</v>
      </c>
      <c r="AV220" s="282">
        <f t="shared" ca="1" si="11"/>
        <v>7.5635654761904755E-3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</v>
      </c>
      <c r="G221" s="271">
        <v>1.9147000000000001</v>
      </c>
      <c r="H221" s="271">
        <v>1.915</v>
      </c>
      <c r="I221" s="271">
        <v>1.92</v>
      </c>
      <c r="J221" s="271">
        <v>1.92</v>
      </c>
      <c r="K221" s="271">
        <v>1.93</v>
      </c>
      <c r="L221" s="271">
        <v>0.78259999999999996</v>
      </c>
      <c r="M221" s="271">
        <v>0.2631</v>
      </c>
      <c r="N221" s="271">
        <v>0.24560000000000001</v>
      </c>
      <c r="O221" s="271">
        <v>0.2349</v>
      </c>
      <c r="P221" s="271">
        <v>0.24</v>
      </c>
      <c r="Q221" s="271">
        <v>0.2334</v>
      </c>
      <c r="R221" s="271">
        <v>0.23499999999999999</v>
      </c>
      <c r="S221" s="271">
        <v>0.23649999999999999</v>
      </c>
      <c r="T221" s="271">
        <v>0.2316</v>
      </c>
      <c r="U221" s="271">
        <v>0.2369</v>
      </c>
      <c r="V221" s="271">
        <v>0.24</v>
      </c>
      <c r="W221" s="271">
        <v>0.20499999999999999</v>
      </c>
      <c r="X221" s="271">
        <v>0.20499999999999999</v>
      </c>
      <c r="Y221" s="271">
        <v>0.2029</v>
      </c>
      <c r="Z221" s="273">
        <f ca="1">[1]ExtEntry!$H21</f>
        <v>0.2029</v>
      </c>
      <c r="AB221" s="282">
        <v>1.3638999999999995E-2</v>
      </c>
      <c r="AC221" s="282">
        <v>1.3552999999999997E-2</v>
      </c>
      <c r="AD221" s="282">
        <v>1.1099999999999992E-2</v>
      </c>
      <c r="AE221" s="282">
        <v>2.1654999999999994E-2</v>
      </c>
      <c r="AF221" s="282">
        <v>2.1514999999999992E-2</v>
      </c>
      <c r="AG221" s="282">
        <v>2.6609999999999995E-2</v>
      </c>
      <c r="AH221" s="282">
        <v>2.3010869999999999</v>
      </c>
      <c r="AI221" s="282">
        <v>1.6319260000000002</v>
      </c>
      <c r="AJ221" s="282">
        <v>1.5707300000000002</v>
      </c>
      <c r="AK221" s="282">
        <v>1.5218150000000001</v>
      </c>
      <c r="AL221" s="282">
        <v>1.5430920000000001</v>
      </c>
      <c r="AM221" s="282">
        <v>0.11658720238095237</v>
      </c>
      <c r="AN221" s="282">
        <v>0.11470133928571427</v>
      </c>
      <c r="AO221" s="282">
        <v>0.11264720833333333</v>
      </c>
      <c r="AP221" s="282">
        <v>-0.17301238690476189</v>
      </c>
      <c r="AQ221" s="282">
        <v>-8.9210648809523799E-2</v>
      </c>
      <c r="AR221" s="282">
        <v>-7.9119714285714279E-2</v>
      </c>
      <c r="AS221" s="282">
        <v>-8.4833202380952377E-2</v>
      </c>
      <c r="AT221" s="282">
        <v>-8.7492827380952376E-2</v>
      </c>
      <c r="AU221" s="282">
        <v>-8.5034351190476157E-2</v>
      </c>
      <c r="AV221" s="282">
        <f t="shared" ca="1" si="11"/>
        <v>-8.3899583333333305E-2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55.76</v>
      </c>
      <c r="G222" s="271">
        <v>56.53</v>
      </c>
      <c r="H222" s="271">
        <v>56.3523</v>
      </c>
      <c r="I222" s="271">
        <v>56.96</v>
      </c>
      <c r="J222" s="271">
        <v>56.96</v>
      </c>
      <c r="K222" s="271">
        <v>56.8</v>
      </c>
      <c r="L222" s="271">
        <v>58.274999999999999</v>
      </c>
      <c r="M222" s="271">
        <v>58.8</v>
      </c>
      <c r="N222" s="271">
        <v>58.74</v>
      </c>
      <c r="O222" s="271">
        <v>58</v>
      </c>
      <c r="P222" s="271">
        <v>58.59</v>
      </c>
      <c r="Q222" s="271">
        <v>58.08</v>
      </c>
      <c r="R222" s="271">
        <v>58.27</v>
      </c>
      <c r="S222" s="271">
        <v>57.75</v>
      </c>
      <c r="T222" s="271">
        <v>58.15</v>
      </c>
      <c r="U222" s="271">
        <v>58.24</v>
      </c>
      <c r="V222" s="271">
        <v>58.02</v>
      </c>
      <c r="W222" s="271">
        <v>57.344999999999999</v>
      </c>
      <c r="X222" s="271">
        <v>58.69</v>
      </c>
      <c r="Y222" s="271">
        <v>58.505000000000003</v>
      </c>
      <c r="Z222" s="273">
        <f ca="1">[1]ExtEntry!$H22</f>
        <v>58.505000000000003</v>
      </c>
      <c r="AB222" s="286">
        <v>0.23531839999999996</v>
      </c>
      <c r="AC222" s="286">
        <v>0.24008739999999998</v>
      </c>
      <c r="AD222" s="286">
        <v>0.22533659999999997</v>
      </c>
      <c r="AE222" s="286">
        <v>0.23850649999999998</v>
      </c>
      <c r="AF222" s="286">
        <v>0.16476350000000001</v>
      </c>
      <c r="AG222" s="286">
        <v>7.3481500000000005E-2</v>
      </c>
      <c r="AH222" s="286">
        <v>8.6534499999999973E-2</v>
      </c>
      <c r="AI222" s="286">
        <v>7.5204500000000007E-2</v>
      </c>
      <c r="AJ222" s="286">
        <v>7.3248199999999999E-2</v>
      </c>
      <c r="AK222" s="286">
        <v>6.04822E-2</v>
      </c>
      <c r="AL222" s="286">
        <v>3.8588200000000003E-2</v>
      </c>
      <c r="AM222" s="286">
        <v>-2.9708071428571434E-3</v>
      </c>
      <c r="AN222" s="286">
        <v>-5.66042619047619E-3</v>
      </c>
      <c r="AO222" s="286">
        <v>-6.0404083333333329E-3</v>
      </c>
      <c r="AP222" s="286">
        <v>-5.4679202380952382E-3</v>
      </c>
      <c r="AQ222" s="286">
        <v>-6.7135773809523808E-3</v>
      </c>
      <c r="AR222" s="286">
        <v>-6.5077976190476196E-3</v>
      </c>
      <c r="AS222" s="286">
        <v>-5.3126190476190478E-3</v>
      </c>
      <c r="AT222" s="286">
        <v>-3.2419404761904773E-3</v>
      </c>
      <c r="AU222" s="286">
        <v>-2.2961726190476196E-3</v>
      </c>
      <c r="AV222" s="282">
        <f t="shared" ca="1" si="11"/>
        <v>-8.2856547619047601E-4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21.195</v>
      </c>
      <c r="G223" s="271">
        <v>21.254999999999999</v>
      </c>
      <c r="H223" s="271">
        <v>21.364999999999998</v>
      </c>
      <c r="I223" s="271">
        <v>21.43</v>
      </c>
      <c r="J223" s="271">
        <v>21.43</v>
      </c>
      <c r="K223" s="271">
        <v>21.045000000000002</v>
      </c>
      <c r="L223" s="271">
        <v>22.57</v>
      </c>
      <c r="M223" s="271">
        <v>22.504999999999999</v>
      </c>
      <c r="N223" s="271">
        <v>22.704999999999998</v>
      </c>
      <c r="O223" s="271">
        <v>23.204999999999998</v>
      </c>
      <c r="P223" s="271">
        <v>22.57</v>
      </c>
      <c r="Q223" s="271">
        <v>22.344999999999999</v>
      </c>
      <c r="R223" s="271">
        <v>22.65</v>
      </c>
      <c r="S223" s="271">
        <v>22.82</v>
      </c>
      <c r="T223" s="271">
        <v>23.16</v>
      </c>
      <c r="U223" s="271">
        <v>23.504999999999999</v>
      </c>
      <c r="V223" s="271">
        <v>23.885000000000002</v>
      </c>
      <c r="W223" s="271">
        <v>24.44</v>
      </c>
      <c r="X223" s="271">
        <v>24.86</v>
      </c>
      <c r="Y223" s="271">
        <v>24.734999999999999</v>
      </c>
      <c r="Z223" s="273">
        <f ca="1">[1]ExtEntry!$H23</f>
        <v>24.734999999999999</v>
      </c>
      <c r="AB223" s="282">
        <v>-3.0459000000000007E-2</v>
      </c>
      <c r="AC223" s="282">
        <v>-4.335E-2</v>
      </c>
      <c r="AD223" s="282">
        <v>-1.9450999999999996E-2</v>
      </c>
      <c r="AE223" s="282">
        <v>-7.3799999999999994E-3</v>
      </c>
      <c r="AF223" s="282">
        <v>-3.3773999999999998E-2</v>
      </c>
      <c r="AG223" s="282">
        <v>-6.4745999999999998E-2</v>
      </c>
      <c r="AH223" s="282">
        <v>-4.7599000000000002E-2</v>
      </c>
      <c r="AI223" s="282">
        <v>-6.0032000000000009E-2</v>
      </c>
      <c r="AJ223" s="282">
        <v>-5.8397999999999985E-2</v>
      </c>
      <c r="AK223" s="282">
        <v>-4.0378999999999984E-2</v>
      </c>
      <c r="AL223" s="282">
        <v>-5.6279999999999997E-2</v>
      </c>
      <c r="AM223" s="282">
        <v>-2.0935416666666663E-3</v>
      </c>
      <c r="AN223" s="282">
        <v>-3.0655476190476184E-3</v>
      </c>
      <c r="AO223" s="282">
        <v>-4.9930357142857176E-4</v>
      </c>
      <c r="AP223" s="282">
        <v>-3.4752976190476157E-4</v>
      </c>
      <c r="AQ223" s="282">
        <v>5.3096190476190465E-4</v>
      </c>
      <c r="AR223" s="282">
        <v>8.4905714285714285E-4</v>
      </c>
      <c r="AS223" s="282">
        <v>9.6197380952381005E-4</v>
      </c>
      <c r="AT223" s="282">
        <v>4.9727119047619046E-3</v>
      </c>
      <c r="AU223" s="282">
        <v>7.4949083333333338E-3</v>
      </c>
      <c r="AV223" s="282">
        <f t="shared" ca="1" si="11"/>
        <v>7.427545238095236E-3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26.73</v>
      </c>
      <c r="G224" s="271">
        <v>26.73</v>
      </c>
      <c r="H224" s="271">
        <v>26.89</v>
      </c>
      <c r="I224" s="271">
        <v>27.114999999999998</v>
      </c>
      <c r="J224" s="271">
        <v>27.114999999999998</v>
      </c>
      <c r="K224" s="271">
        <v>26.47</v>
      </c>
      <c r="L224" s="271">
        <v>27.5</v>
      </c>
      <c r="M224" s="271">
        <v>27.01</v>
      </c>
      <c r="N224" s="271">
        <v>27.14</v>
      </c>
      <c r="O224" s="271">
        <v>27.885000000000002</v>
      </c>
      <c r="P224" s="271">
        <v>28.54</v>
      </c>
      <c r="Q224" s="271">
        <v>28.164999999999999</v>
      </c>
      <c r="R224" s="271">
        <v>28.645</v>
      </c>
      <c r="S224" s="271">
        <v>28.7</v>
      </c>
      <c r="T224" s="271">
        <v>28.92</v>
      </c>
      <c r="U224" s="271">
        <v>29.364999999999998</v>
      </c>
      <c r="V224" s="271">
        <v>29.04</v>
      </c>
      <c r="W224" s="271">
        <v>28.37</v>
      </c>
      <c r="X224" s="271">
        <v>28.335000000000001</v>
      </c>
      <c r="Y224" s="271">
        <v>27.954999999999998</v>
      </c>
      <c r="Z224" s="273">
        <f ca="1">[1]ExtEntry!$H24</f>
        <v>27.954999999999998</v>
      </c>
      <c r="AB224" s="286">
        <v>2.7883700000000008E-2</v>
      </c>
      <c r="AC224" s="286">
        <v>1.7224699999999996E-2</v>
      </c>
      <c r="AD224" s="286">
        <v>2.6625699999999999E-2</v>
      </c>
      <c r="AE224" s="286">
        <v>4.6425700000000007E-2</v>
      </c>
      <c r="AF224" s="286">
        <v>3.8550699999999993E-2</v>
      </c>
      <c r="AG224" s="286">
        <v>4.2369999999999908E-4</v>
      </c>
      <c r="AH224" s="286">
        <v>-1.1430000000000468E-4</v>
      </c>
      <c r="AI224" s="286">
        <v>-1.754300000000001E-2</v>
      </c>
      <c r="AJ224" s="286">
        <v>-1.9154999999999995E-2</v>
      </c>
      <c r="AK224" s="286">
        <v>3.1636999999999992E-2</v>
      </c>
      <c r="AL224" s="286">
        <v>5.0291000000000002E-2</v>
      </c>
      <c r="AM224" s="286">
        <v>-3.6111845238095248E-3</v>
      </c>
      <c r="AN224" s="286">
        <v>-6.3998035714285719E-3</v>
      </c>
      <c r="AO224" s="286">
        <v>-4.217726190476191E-3</v>
      </c>
      <c r="AP224" s="286">
        <v>-2.3809285714285712E-3</v>
      </c>
      <c r="AQ224" s="286">
        <v>-1.6378988095238104E-4</v>
      </c>
      <c r="AR224" s="286">
        <v>-1.1733315476190474E-3</v>
      </c>
      <c r="AS224" s="286">
        <v>-4.3163494047619051E-3</v>
      </c>
      <c r="AT224" s="286">
        <v>-6.343873214285714E-3</v>
      </c>
      <c r="AU224" s="286">
        <v>-3.7087184523809527E-3</v>
      </c>
      <c r="AV224" s="282">
        <f t="shared" ca="1" si="11"/>
        <v>-2.8322601190476191E-3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</v>
      </c>
      <c r="G225" s="271">
        <v>386</v>
      </c>
      <c r="H225" s="271">
        <v>388.9</v>
      </c>
      <c r="I225" s="271">
        <v>393.9</v>
      </c>
      <c r="J225" s="271">
        <v>393.9</v>
      </c>
      <c r="K225" s="271">
        <v>387.8</v>
      </c>
      <c r="L225" s="271">
        <v>394.6</v>
      </c>
      <c r="M225" s="271">
        <v>392.6</v>
      </c>
      <c r="N225" s="271">
        <v>384.6</v>
      </c>
      <c r="O225" s="271">
        <v>389.5</v>
      </c>
      <c r="P225" s="271">
        <v>389.8</v>
      </c>
      <c r="Q225" s="271">
        <v>378</v>
      </c>
      <c r="R225" s="271">
        <v>390.88400000000001</v>
      </c>
      <c r="S225" s="271">
        <v>390.7</v>
      </c>
      <c r="T225" s="271">
        <v>390.8</v>
      </c>
      <c r="U225" s="271">
        <v>394.2</v>
      </c>
      <c r="V225" s="271">
        <v>397.9</v>
      </c>
      <c r="W225" s="271">
        <v>381.7</v>
      </c>
      <c r="X225" s="271">
        <v>382.3</v>
      </c>
      <c r="Y225" s="271">
        <v>382</v>
      </c>
      <c r="Z225" s="273">
        <f ca="1">[1]ExtEntry!$H25</f>
        <v>382</v>
      </c>
      <c r="AB225" s="282">
        <v>5.6552000000000043E-3</v>
      </c>
      <c r="AC225" s="282">
        <v>2.1280200000000003E-2</v>
      </c>
      <c r="AD225" s="282">
        <v>2.6470200000000006E-2</v>
      </c>
      <c r="AE225" s="282">
        <v>4.515920000000001E-2</v>
      </c>
      <c r="AF225" s="282">
        <v>3.7890200000000006E-2</v>
      </c>
      <c r="AG225" s="282">
        <v>1.8160200000000008E-2</v>
      </c>
      <c r="AH225" s="282">
        <v>3.8052200000000008E-2</v>
      </c>
      <c r="AI225" s="282">
        <v>4.3828200000000012E-2</v>
      </c>
      <c r="AJ225" s="282">
        <v>3.6018200000000007E-2</v>
      </c>
      <c r="AK225" s="282">
        <v>4.2521200000000002E-2</v>
      </c>
      <c r="AL225" s="282">
        <v>3.7067200000000008E-2</v>
      </c>
      <c r="AM225" s="282">
        <v>-2.5364738095238091E-3</v>
      </c>
      <c r="AN225" s="282">
        <v>-2.5383011904761906E-3</v>
      </c>
      <c r="AO225" s="282">
        <v>-2.6730654761904747E-4</v>
      </c>
      <c r="AP225" s="282">
        <v>-2.429467261904762E-3</v>
      </c>
      <c r="AQ225" s="282">
        <v>-1.9769791666666668E-3</v>
      </c>
      <c r="AR225" s="282">
        <v>1.1692053571428565E-3</v>
      </c>
      <c r="AS225" s="282">
        <v>-3.5228601190476199E-3</v>
      </c>
      <c r="AT225" s="282">
        <v>-5.8947315476190493E-3</v>
      </c>
      <c r="AU225" s="282">
        <v>4.506547619047616E-4</v>
      </c>
      <c r="AV225" s="282">
        <f t="shared" ca="1" si="11"/>
        <v>-3.0314291666666657E-3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69.555000000000007</v>
      </c>
      <c r="G226" s="271">
        <v>69.61</v>
      </c>
      <c r="H226" s="271">
        <v>70.17</v>
      </c>
      <c r="I226" s="271">
        <v>70.745000000000005</v>
      </c>
      <c r="J226" s="271">
        <v>70.745000000000005</v>
      </c>
      <c r="K226" s="271">
        <v>71.819999999999993</v>
      </c>
      <c r="L226" s="271">
        <v>70.11</v>
      </c>
      <c r="M226" s="271">
        <v>68.98</v>
      </c>
      <c r="N226" s="271">
        <v>67.95</v>
      </c>
      <c r="O226" s="271">
        <v>66.819999999999993</v>
      </c>
      <c r="P226" s="271">
        <v>67.84</v>
      </c>
      <c r="Q226" s="271">
        <v>68.72</v>
      </c>
      <c r="R226" s="271">
        <v>67.260000000000005</v>
      </c>
      <c r="S226" s="271">
        <v>68.2</v>
      </c>
      <c r="T226" s="271">
        <v>67.84</v>
      </c>
      <c r="U226" s="271">
        <v>68.025000000000006</v>
      </c>
      <c r="V226" s="271">
        <v>67.66</v>
      </c>
      <c r="W226" s="271">
        <v>67.069999999999993</v>
      </c>
      <c r="X226" s="271">
        <v>67.19</v>
      </c>
      <c r="Y226" s="271">
        <v>68.290000000000006</v>
      </c>
      <c r="Z226" s="273">
        <f ca="1">[1]ExtEntry!$H26</f>
        <v>68.290000000000006</v>
      </c>
      <c r="AB226" s="286">
        <v>1.6014000000000028E-3</v>
      </c>
      <c r="AC226" s="286">
        <v>1.4553400000000013E-2</v>
      </c>
      <c r="AD226" s="286">
        <v>5.1224000000000061E-3</v>
      </c>
      <c r="AE226" s="286">
        <v>1.07084E-2</v>
      </c>
      <c r="AF226" s="286">
        <v>2.1401400000000001E-2</v>
      </c>
      <c r="AG226" s="286">
        <v>3.32374E-2</v>
      </c>
      <c r="AH226" s="286">
        <v>4.7593399999999987E-2</v>
      </c>
      <c r="AI226" s="286">
        <v>4.3628399999999998E-2</v>
      </c>
      <c r="AJ226" s="286">
        <v>5.8920400000000005E-2</v>
      </c>
      <c r="AK226" s="286">
        <v>4.1856400000000002E-2</v>
      </c>
      <c r="AL226" s="286">
        <v>3.6378400000000012E-2</v>
      </c>
      <c r="AM226" s="286">
        <v>-6.4135238095238236E-4</v>
      </c>
      <c r="AN226" s="286">
        <v>-3.1425666666666675E-3</v>
      </c>
      <c r="AO226" s="286">
        <v>-5.6128571428571434E-3</v>
      </c>
      <c r="AP226" s="286">
        <v>-6.9032976190476188E-3</v>
      </c>
      <c r="AQ226" s="286">
        <v>-3.2145297619047622E-3</v>
      </c>
      <c r="AR226" s="286">
        <v>-1.5620595238095237E-3</v>
      </c>
      <c r="AS226" s="286">
        <v>2.1751190476190481E-4</v>
      </c>
      <c r="AT226" s="286">
        <v>-2.1852380952380951E-4</v>
      </c>
      <c r="AU226" s="286">
        <v>-1.132339285714286E-3</v>
      </c>
      <c r="AV226" s="282">
        <f t="shared" ca="1" si="11"/>
        <v>5.9856547619047563E-4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12.56</v>
      </c>
      <c r="G227" s="271">
        <v>12.664999999999999</v>
      </c>
      <c r="H227" s="271">
        <v>12.710100000000001</v>
      </c>
      <c r="I227" s="271">
        <v>12.535</v>
      </c>
      <c r="J227" s="271">
        <v>12.535</v>
      </c>
      <c r="K227" s="271">
        <v>12.55</v>
      </c>
      <c r="L227" s="271">
        <v>12.66</v>
      </c>
      <c r="M227" s="271">
        <v>12.59</v>
      </c>
      <c r="N227" s="271">
        <v>12.19</v>
      </c>
      <c r="O227" s="271">
        <v>12.1</v>
      </c>
      <c r="P227" s="271">
        <v>12.28</v>
      </c>
      <c r="Q227" s="271">
        <v>12.165800000000001</v>
      </c>
      <c r="R227" s="271">
        <v>12.29</v>
      </c>
      <c r="S227" s="271">
        <v>12.04</v>
      </c>
      <c r="T227" s="271">
        <v>12.17</v>
      </c>
      <c r="U227" s="271">
        <v>12.34</v>
      </c>
      <c r="V227" s="271">
        <v>12.2</v>
      </c>
      <c r="W227" s="271">
        <v>12.13</v>
      </c>
      <c r="X227" s="271">
        <v>12.09</v>
      </c>
      <c r="Y227" s="271">
        <v>12.47</v>
      </c>
      <c r="Z227" s="273">
        <f ca="1">[1]ExtEntry!$H27</f>
        <v>12.47</v>
      </c>
      <c r="AB227" s="282">
        <v>-3.0347099999999991E-2</v>
      </c>
      <c r="AC227" s="282">
        <v>-1.6388899999999998E-2</v>
      </c>
      <c r="AD227" s="282">
        <v>-1.8866899999999999E-2</v>
      </c>
      <c r="AE227" s="282">
        <v>-5.2523899999999984E-2</v>
      </c>
      <c r="AF227" s="282">
        <v>-7.6272899999999991E-2</v>
      </c>
      <c r="AG227" s="282">
        <v>-7.915889999999999E-2</v>
      </c>
      <c r="AH227" s="282">
        <v>-8.0286899999999981E-2</v>
      </c>
      <c r="AI227" s="282">
        <v>-9.5096899999999984E-2</v>
      </c>
      <c r="AJ227" s="282">
        <v>-0.13146589999999997</v>
      </c>
      <c r="AK227" s="282">
        <v>-0.15106289999999997</v>
      </c>
      <c r="AL227" s="282">
        <v>-0.11245989999999999</v>
      </c>
      <c r="AM227" s="282">
        <v>-4.5432130952380951E-3</v>
      </c>
      <c r="AN227" s="282">
        <v>-3.8456357142857131E-3</v>
      </c>
      <c r="AO227" s="282">
        <v>-6.2879749999999995E-3</v>
      </c>
      <c r="AP227" s="282">
        <v>-2.7588678571428566E-3</v>
      </c>
      <c r="AQ227" s="282">
        <v>-1.02332738095238E-3</v>
      </c>
      <c r="AR227" s="282">
        <v>1.850875000000001E-3</v>
      </c>
      <c r="AS227" s="282">
        <v>2.5522619047619044E-3</v>
      </c>
      <c r="AT227" s="282">
        <v>1.5515595238095245E-3</v>
      </c>
      <c r="AU227" s="282">
        <v>4.4810476190476206E-3</v>
      </c>
      <c r="AV227" s="282">
        <f t="shared" ca="1" si="11"/>
        <v>7.2204285714285703E-3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4.1550000000000002</v>
      </c>
      <c r="G228" s="271">
        <v>4.4349999999999996</v>
      </c>
      <c r="H228" s="271">
        <v>4.7281000000000004</v>
      </c>
      <c r="I228" s="271">
        <v>4.5999999999999996</v>
      </c>
      <c r="J228" s="271">
        <v>4.5999999999999996</v>
      </c>
      <c r="K228" s="271">
        <v>4.4249999999999998</v>
      </c>
      <c r="L228" s="271">
        <v>4.6849999999999996</v>
      </c>
      <c r="M228" s="271">
        <v>4.6849999999999996</v>
      </c>
      <c r="N228" s="271">
        <v>5.2750000000000004</v>
      </c>
      <c r="O228" s="271">
        <v>5.0949999999999998</v>
      </c>
      <c r="P228" s="271">
        <v>4.97</v>
      </c>
      <c r="Q228" s="271">
        <v>4.7750000000000004</v>
      </c>
      <c r="R228" s="271">
        <v>4.76</v>
      </c>
      <c r="S228" s="271">
        <v>4.72</v>
      </c>
      <c r="T228" s="271">
        <v>4.97</v>
      </c>
      <c r="U228" s="271">
        <v>5.1150000000000002</v>
      </c>
      <c r="V228" s="271">
        <v>5.64</v>
      </c>
      <c r="W228" s="271">
        <v>6.1349999999999998</v>
      </c>
      <c r="X228" s="271">
        <v>6.085</v>
      </c>
      <c r="Y228" s="271">
        <v>6.0549999999999997</v>
      </c>
      <c r="Z228" s="273">
        <f ca="1">[1]ExtEntry!$H28</f>
        <v>6.0549999999999997</v>
      </c>
      <c r="AB228" s="286">
        <v>-0.28395900000000007</v>
      </c>
      <c r="AC228" s="286">
        <v>-0.25705899999999998</v>
      </c>
      <c r="AD228" s="286">
        <v>-0.17256600000000005</v>
      </c>
      <c r="AE228" s="286">
        <v>-0.180288</v>
      </c>
      <c r="AF228" s="286">
        <v>-0.22644400000000003</v>
      </c>
      <c r="AG228" s="286">
        <v>-0.28935799999999995</v>
      </c>
      <c r="AH228" s="286">
        <v>-0.23917199999999997</v>
      </c>
      <c r="AI228" s="286">
        <v>-0.22209700000000004</v>
      </c>
      <c r="AJ228" s="286">
        <v>-0.12969700000000001</v>
      </c>
      <c r="AK228" s="286">
        <v>-0.13458200000000003</v>
      </c>
      <c r="AL228" s="286">
        <v>-0.14790500000000004</v>
      </c>
      <c r="AM228" s="286">
        <v>5.4321428571428359E-4</v>
      </c>
      <c r="AN228" s="286">
        <v>-5.4613392857142872E-3</v>
      </c>
      <c r="AO228" s="286">
        <v>-1.0076845238095244E-3</v>
      </c>
      <c r="AP228" s="286">
        <v>1.0572499999999992E-3</v>
      </c>
      <c r="AQ228" s="286">
        <v>7.2000833333333326E-3</v>
      </c>
      <c r="AR228" s="286">
        <v>-1.2923571428571506E-3</v>
      </c>
      <c r="AS228" s="286">
        <v>1.0507291666666668E-2</v>
      </c>
      <c r="AT228" s="286">
        <v>1.086916071428571E-2</v>
      </c>
      <c r="AU228" s="286">
        <v>1.806630357142857E-2</v>
      </c>
      <c r="AV228" s="282">
        <f t="shared" ca="1" si="11"/>
        <v>2.0694994047619042E-2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26.619900000000001</v>
      </c>
      <c r="G229" s="271">
        <v>27.82</v>
      </c>
      <c r="H229" s="271">
        <v>28.035</v>
      </c>
      <c r="I229" s="271">
        <v>27.934999999999999</v>
      </c>
      <c r="J229" s="271">
        <v>27.934999999999999</v>
      </c>
      <c r="K229" s="271">
        <v>26.89</v>
      </c>
      <c r="L229" s="271">
        <v>25.35</v>
      </c>
      <c r="M229" s="271">
        <v>24.73</v>
      </c>
      <c r="N229" s="271">
        <v>25.1</v>
      </c>
      <c r="O229" s="271">
        <v>24.445</v>
      </c>
      <c r="P229" s="271">
        <v>24.09</v>
      </c>
      <c r="Q229" s="271">
        <v>23.48</v>
      </c>
      <c r="R229" s="271">
        <v>24.28</v>
      </c>
      <c r="S229" s="271">
        <v>24.05</v>
      </c>
      <c r="T229" s="271">
        <v>24.28</v>
      </c>
      <c r="U229" s="271">
        <v>24.83</v>
      </c>
      <c r="V229" s="271">
        <v>24.47</v>
      </c>
      <c r="W229" s="271">
        <v>24.31</v>
      </c>
      <c r="X229" s="271">
        <v>25.38</v>
      </c>
      <c r="Y229" s="271">
        <v>23.51</v>
      </c>
      <c r="Z229" s="273">
        <f ca="1">[1]ExtEntry!$H29</f>
        <v>23.51</v>
      </c>
      <c r="AB229" s="282">
        <v>-0.19064599999999998</v>
      </c>
      <c r="AC229" s="282">
        <v>-0.13338899999999998</v>
      </c>
      <c r="AD229" s="282">
        <v>-0.13045470000000001</v>
      </c>
      <c r="AE229" s="282">
        <v>-0.12669570000000002</v>
      </c>
      <c r="AF229" s="282">
        <v>-0.19148669999999998</v>
      </c>
      <c r="AG229" s="282">
        <v>-0.2873057</v>
      </c>
      <c r="AH229" s="282">
        <v>-0.33353369999999999</v>
      </c>
      <c r="AI229" s="282">
        <v>-0.36210769999999998</v>
      </c>
      <c r="AJ229" s="282">
        <v>-0.34011770000000002</v>
      </c>
      <c r="AK229" s="282">
        <v>-0.35059869999999999</v>
      </c>
      <c r="AL229" s="282">
        <v>-0.28556769999999998</v>
      </c>
      <c r="AM229" s="282">
        <v>-1.1550180952380954E-2</v>
      </c>
      <c r="AN229" s="282">
        <v>-1.3721877380952379E-2</v>
      </c>
      <c r="AO229" s="282">
        <v>-8.4285083333333309E-3</v>
      </c>
      <c r="AP229" s="282">
        <v>1.7670595238095457E-4</v>
      </c>
      <c r="AQ229" s="282">
        <v>9.6229523809523727E-4</v>
      </c>
      <c r="AR229" s="282">
        <v>-2.6628059523809491E-3</v>
      </c>
      <c r="AS229" s="282">
        <v>-7.2103809523809369E-4</v>
      </c>
      <c r="AT229" s="282">
        <v>3.4410095238095236E-3</v>
      </c>
      <c r="AU229" s="282">
        <v>1.2318250000000006E-3</v>
      </c>
      <c r="AV229" s="282">
        <f t="shared" ca="1" si="11"/>
        <v>-3.0700678571428559E-3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523.98</v>
      </c>
      <c r="G230" s="271">
        <v>522.82000000000005</v>
      </c>
      <c r="H230" s="271">
        <v>518.04</v>
      </c>
      <c r="I230" s="271">
        <v>508.93</v>
      </c>
      <c r="J230" s="271">
        <v>508.93</v>
      </c>
      <c r="K230" s="271">
        <v>505.72</v>
      </c>
      <c r="L230" s="271">
        <v>504.26</v>
      </c>
      <c r="M230" s="271">
        <v>502.04</v>
      </c>
      <c r="N230" s="271">
        <v>506.74</v>
      </c>
      <c r="O230" s="271">
        <v>508.05500000000001</v>
      </c>
      <c r="P230" s="271">
        <v>506.69</v>
      </c>
      <c r="Q230" s="271">
        <v>500.84</v>
      </c>
      <c r="R230" s="271">
        <v>505.41</v>
      </c>
      <c r="S230" s="271">
        <v>505.35</v>
      </c>
      <c r="T230" s="271">
        <v>507.97</v>
      </c>
      <c r="U230" s="271">
        <v>498.2</v>
      </c>
      <c r="V230" s="271">
        <v>498.41</v>
      </c>
      <c r="W230" s="271">
        <v>500.37</v>
      </c>
      <c r="X230" s="271">
        <v>501.37</v>
      </c>
      <c r="Y230" s="271">
        <v>509.9</v>
      </c>
      <c r="Z230" s="273">
        <f ca="1">[1]ExtEntry!$H30</f>
        <v>509.9</v>
      </c>
      <c r="AB230" s="286">
        <v>1.2262610000000002E-2</v>
      </c>
      <c r="AC230" s="286">
        <v>1.5796309999999997E-2</v>
      </c>
      <c r="AD230" s="286">
        <v>1.1073909999999999E-2</v>
      </c>
      <c r="AE230" s="286">
        <v>-4.7456999999999985E-3</v>
      </c>
      <c r="AF230" s="286">
        <v>-2.1732700000000001E-2</v>
      </c>
      <c r="AG230" s="286">
        <v>-3.0864700000000002E-2</v>
      </c>
      <c r="AH230" s="286">
        <v>-4.6623699999999997E-2</v>
      </c>
      <c r="AI230" s="286">
        <v>-5.6564699999999996E-2</v>
      </c>
      <c r="AJ230" s="286">
        <v>-4.4847699999999997E-2</v>
      </c>
      <c r="AK230" s="286">
        <v>-4.35597E-2</v>
      </c>
      <c r="AL230" s="286">
        <v>-8.8822700000000004E-2</v>
      </c>
      <c r="AM230" s="286">
        <v>-9.721988095238096E-4</v>
      </c>
      <c r="AN230" s="286">
        <v>2.090827380952379E-4</v>
      </c>
      <c r="AO230" s="286">
        <v>1.8434392857142865E-3</v>
      </c>
      <c r="AP230" s="286">
        <v>2.2751059523809527E-3</v>
      </c>
      <c r="AQ230" s="286">
        <v>3.0721000000000004E-3</v>
      </c>
      <c r="AR230" s="286">
        <v>1.3025613095238096E-3</v>
      </c>
      <c r="AS230" s="286">
        <v>1.4418113095238092E-3</v>
      </c>
      <c r="AT230" s="286">
        <v>2.308595833333333E-3</v>
      </c>
      <c r="AU230" s="286">
        <v>5.8066553571428578E-3</v>
      </c>
      <c r="AV230" s="282">
        <f t="shared" ca="1" si="11"/>
        <v>6.6277023809523817E-3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71.489999999999995</v>
      </c>
      <c r="G231" s="271">
        <v>72.540000000000006</v>
      </c>
      <c r="H231" s="271">
        <v>76.33</v>
      </c>
      <c r="I231" s="271">
        <v>76.295000000000002</v>
      </c>
      <c r="J231" s="271">
        <v>76.295000000000002</v>
      </c>
      <c r="K231" s="271">
        <v>76.19</v>
      </c>
      <c r="L231" s="271">
        <v>75.319999999999993</v>
      </c>
      <c r="M231" s="271">
        <v>74.84</v>
      </c>
      <c r="N231" s="271">
        <v>73.87</v>
      </c>
      <c r="O231" s="271">
        <v>72.88</v>
      </c>
      <c r="P231" s="271">
        <v>72.05</v>
      </c>
      <c r="Q231" s="271">
        <v>72.05</v>
      </c>
      <c r="R231" s="271">
        <v>71.66</v>
      </c>
      <c r="S231" s="271">
        <v>71.63</v>
      </c>
      <c r="T231" s="271">
        <v>70.87</v>
      </c>
      <c r="U231" s="271">
        <v>69.81</v>
      </c>
      <c r="V231" s="271">
        <v>70.08</v>
      </c>
      <c r="W231" s="271">
        <v>71.045000000000002</v>
      </c>
      <c r="X231" s="271">
        <v>71.364999999999995</v>
      </c>
      <c r="Y231" s="271">
        <v>71.66</v>
      </c>
      <c r="Z231" s="273">
        <f ca="1">[1]ExtEntry!$H31</f>
        <v>71.66</v>
      </c>
      <c r="AB231" s="282">
        <v>-0.13681960999999998</v>
      </c>
      <c r="AC231" s="282">
        <v>-0.14470461000000004</v>
      </c>
      <c r="AD231" s="282">
        <v>-0.14290461000000002</v>
      </c>
      <c r="AE231" s="282">
        <v>-0.13820761000000001</v>
      </c>
      <c r="AF231" s="282">
        <v>-6.9741609999999968E-2</v>
      </c>
      <c r="AG231" s="282">
        <v>-1.305161000000001E-2</v>
      </c>
      <c r="AH231" s="282">
        <v>-1.4069610000000001E-2</v>
      </c>
      <c r="AI231" s="282">
        <v>-1.9122609999999998E-2</v>
      </c>
      <c r="AJ231" s="282">
        <v>-2.4776609999999998E-2</v>
      </c>
      <c r="AK231" s="282">
        <v>-1.7482610000000003E-2</v>
      </c>
      <c r="AL231" s="282">
        <v>-1.902361E-2</v>
      </c>
      <c r="AM231" s="282">
        <v>-3.936392976190476E-3</v>
      </c>
      <c r="AN231" s="282">
        <v>-6.3823989285714281E-3</v>
      </c>
      <c r="AO231" s="282">
        <v>-6.6552203571428568E-3</v>
      </c>
      <c r="AP231" s="282">
        <v>-5.4028810714285697E-3</v>
      </c>
      <c r="AQ231" s="282">
        <v>-6.2040060714285711E-3</v>
      </c>
      <c r="AR231" s="282">
        <v>-2.9135536904761903E-3</v>
      </c>
      <c r="AS231" s="282">
        <v>-1.0773922619047621E-3</v>
      </c>
      <c r="AT231" s="282">
        <v>-6.2770714285714183E-4</v>
      </c>
      <c r="AU231" s="282">
        <v>-6.466416666666662E-4</v>
      </c>
      <c r="AV231" s="282">
        <f t="shared" ca="1" si="11"/>
        <v>1.1538940476190484E-3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68.224999999999994</v>
      </c>
      <c r="G232" s="271">
        <v>69.094999999999999</v>
      </c>
      <c r="H232" s="271">
        <v>69.13</v>
      </c>
      <c r="I232" s="271">
        <v>67.314999999999998</v>
      </c>
      <c r="J232" s="271">
        <v>67.314999999999998</v>
      </c>
      <c r="K232" s="271">
        <v>68.98</v>
      </c>
      <c r="L232" s="271">
        <v>71.075000000000003</v>
      </c>
      <c r="M232" s="271">
        <v>72.454999999999998</v>
      </c>
      <c r="N232" s="271">
        <v>72.400000000000006</v>
      </c>
      <c r="O232" s="271">
        <v>72.758399999999995</v>
      </c>
      <c r="P232" s="271">
        <v>74.400000000000006</v>
      </c>
      <c r="Q232" s="271">
        <v>76.02</v>
      </c>
      <c r="R232" s="271">
        <v>76.284999999999997</v>
      </c>
      <c r="S232" s="271">
        <v>75.42</v>
      </c>
      <c r="T232" s="271">
        <v>74.88</v>
      </c>
      <c r="U232" s="271">
        <v>75.77</v>
      </c>
      <c r="V232" s="271">
        <v>75.92</v>
      </c>
      <c r="W232" s="271">
        <v>78.47</v>
      </c>
      <c r="X232" s="271">
        <v>79.594999999999999</v>
      </c>
      <c r="Y232" s="271">
        <v>79.265000000000001</v>
      </c>
      <c r="Z232" s="273">
        <f ca="1">[1]ExtEntry!$H32</f>
        <v>79.265000000000001</v>
      </c>
      <c r="AB232" s="286">
        <v>0.14921500000000001</v>
      </c>
      <c r="AC232" s="286">
        <v>0.15294200000000002</v>
      </c>
      <c r="AD232" s="286">
        <v>0.11061700000000002</v>
      </c>
      <c r="AE232" s="286">
        <v>5.7498000000000035E-2</v>
      </c>
      <c r="AF232" s="286">
        <v>3.7616000000000024E-2</v>
      </c>
      <c r="AG232" s="286">
        <v>6.5900000000000028E-2</v>
      </c>
      <c r="AH232" s="286">
        <v>6.7605000000000026E-2</v>
      </c>
      <c r="AI232" s="286">
        <v>1.7731000000000004E-2</v>
      </c>
      <c r="AJ232" s="286">
        <v>4.895179999999999E-2</v>
      </c>
      <c r="AK232" s="286">
        <v>7.9982800000000007E-2</v>
      </c>
      <c r="AL232" s="286">
        <v>0.10327080000000002</v>
      </c>
      <c r="AM232" s="286">
        <v>3.0405321428571422E-3</v>
      </c>
      <c r="AN232" s="286">
        <v>6.9022345238095228E-3</v>
      </c>
      <c r="AO232" s="286">
        <v>4.2079369047619049E-3</v>
      </c>
      <c r="AP232" s="286">
        <v>4.6808892857142861E-3</v>
      </c>
      <c r="AQ232" s="286">
        <v>2.3880261904761905E-3</v>
      </c>
      <c r="AR232" s="286">
        <v>3.279491666666667E-3</v>
      </c>
      <c r="AS232" s="286">
        <v>5.3217238095238104E-3</v>
      </c>
      <c r="AT232" s="286">
        <v>3.9455630952380943E-3</v>
      </c>
      <c r="AU232" s="286">
        <v>8.8432500000000004E-4</v>
      </c>
      <c r="AV232" s="282">
        <f t="shared" ca="1" si="11"/>
        <v>-4.1450833333333322E-4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1237.73</v>
      </c>
      <c r="G233" s="271">
        <v>1238.95</v>
      </c>
      <c r="H233" s="271">
        <v>1243.25</v>
      </c>
      <c r="I233" s="271">
        <v>1212.6199999999999</v>
      </c>
      <c r="J233" s="271">
        <v>1212.6199999999999</v>
      </c>
      <c r="K233" s="271">
        <v>1213.8599999999999</v>
      </c>
      <c r="L233" s="271">
        <v>1218.07</v>
      </c>
      <c r="M233" s="271">
        <v>1226.0899999999999</v>
      </c>
      <c r="N233" s="271">
        <v>1223.5</v>
      </c>
      <c r="O233" s="271">
        <v>1226.0450000000001</v>
      </c>
      <c r="P233" s="271">
        <v>1208.25</v>
      </c>
      <c r="Q233" s="271">
        <v>1202.4974999999999</v>
      </c>
      <c r="R233" s="271">
        <v>1211.46</v>
      </c>
      <c r="S233" s="271">
        <v>1226.18</v>
      </c>
      <c r="T233" s="271">
        <v>1257.48</v>
      </c>
      <c r="U233" s="271">
        <v>1244.76</v>
      </c>
      <c r="V233" s="271">
        <v>1263.25</v>
      </c>
      <c r="W233" s="271">
        <v>1247.71</v>
      </c>
      <c r="X233" s="271">
        <v>1205.1400000000001</v>
      </c>
      <c r="Y233" s="271">
        <v>1188.44</v>
      </c>
      <c r="Z233" s="273">
        <f ca="1">[1]ExtEntry!$H33</f>
        <v>1188.44</v>
      </c>
      <c r="AB233" s="282">
        <v>1.929030000000001E-2</v>
      </c>
      <c r="AC233" s="282">
        <v>7.4963300000000024E-2</v>
      </c>
      <c r="AD233" s="282">
        <v>6.7051300000000008E-2</v>
      </c>
      <c r="AE233" s="282">
        <v>2.1101300000000014E-2</v>
      </c>
      <c r="AF233" s="282">
        <v>6.1993000000000083E-3</v>
      </c>
      <c r="AG233" s="282">
        <v>1.71364E-2</v>
      </c>
      <c r="AH233" s="282">
        <v>2.4894400000000004E-2</v>
      </c>
      <c r="AI233" s="282">
        <v>3.1707100000000002E-2</v>
      </c>
      <c r="AJ233" s="282">
        <v>3.4584100000000007E-2</v>
      </c>
      <c r="AK233" s="282">
        <v>2.3436100000000005E-2</v>
      </c>
      <c r="AL233" s="282">
        <v>2.5538100000000005E-2</v>
      </c>
      <c r="AM233" s="282">
        <v>-5.1264803571428579E-3</v>
      </c>
      <c r="AN233" s="282">
        <v>-2.0685101190476198E-3</v>
      </c>
      <c r="AO233" s="282">
        <v>-7.1454642857142849E-4</v>
      </c>
      <c r="AP233" s="282">
        <v>-1.0720107142857143E-3</v>
      </c>
      <c r="AQ233" s="282">
        <v>-5.666767857142852E-4</v>
      </c>
      <c r="AR233" s="282">
        <v>4.9035892857142915E-4</v>
      </c>
      <c r="AS233" s="282">
        <v>4.7213273809523738E-4</v>
      </c>
      <c r="AT233" s="282">
        <v>4.4911488095238127E-4</v>
      </c>
      <c r="AU233" s="282">
        <v>3.4832321428571373E-4</v>
      </c>
      <c r="AV233" s="282">
        <f t="shared" ca="1" si="11"/>
        <v>-5.021946428571439E-4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0.52669999999999995</v>
      </c>
      <c r="G234" s="271">
        <v>0.5423</v>
      </c>
      <c r="H234" s="271">
        <v>0.53</v>
      </c>
      <c r="I234" s="271">
        <v>0.50960000000000005</v>
      </c>
      <c r="J234" s="271">
        <v>0.50960000000000005</v>
      </c>
      <c r="K234" s="271">
        <v>0.48509999999999998</v>
      </c>
      <c r="L234" s="271">
        <v>0.43369999999999997</v>
      </c>
      <c r="M234" s="271">
        <v>0.42009999999999997</v>
      </c>
      <c r="N234" s="271">
        <v>0.4325</v>
      </c>
      <c r="O234" s="271">
        <v>0.4299</v>
      </c>
      <c r="P234" s="271">
        <v>0.42480000000000001</v>
      </c>
      <c r="Q234" s="271">
        <v>4.6700999999999997</v>
      </c>
      <c r="R234" s="271">
        <v>5.0949999999999998</v>
      </c>
      <c r="S234" s="271">
        <v>4.6100000000000003</v>
      </c>
      <c r="T234" s="271">
        <v>3.99</v>
      </c>
      <c r="U234" s="271">
        <v>4.45</v>
      </c>
      <c r="V234" s="271">
        <v>4.7300000000000004</v>
      </c>
      <c r="W234" s="271">
        <v>5.1100000000000003</v>
      </c>
      <c r="X234" s="271">
        <v>5.0999999999999996</v>
      </c>
      <c r="Y234" s="271">
        <v>4.5750000000000002</v>
      </c>
      <c r="Z234" s="273">
        <f ca="1">[1]ExtEntry!$H34</f>
        <v>4.5750000000000002</v>
      </c>
      <c r="AB234" s="286">
        <v>6.9692500000000004E-2</v>
      </c>
      <c r="AC234" s="286">
        <v>2.439549999999998E-2</v>
      </c>
      <c r="AD234" s="286">
        <v>-8.2807499999999978E-2</v>
      </c>
      <c r="AE234" s="286">
        <v>-0.1543805</v>
      </c>
      <c r="AF234" s="286">
        <v>-0.11772749999999998</v>
      </c>
      <c r="AG234" s="286">
        <v>-0.1108905</v>
      </c>
      <c r="AH234" s="286">
        <v>-0.2100205</v>
      </c>
      <c r="AI234" s="286">
        <v>-0.28601149999999997</v>
      </c>
      <c r="AJ234" s="286">
        <v>-0.26150049999999997</v>
      </c>
      <c r="AK234" s="286">
        <v>-0.23562449999999996</v>
      </c>
      <c r="AL234" s="286">
        <v>-0.227129</v>
      </c>
      <c r="AM234" s="286">
        <v>-2.2139452380952378E-2</v>
      </c>
      <c r="AN234" s="286">
        <v>-2.0243369047619041E-2</v>
      </c>
      <c r="AO234" s="286">
        <v>-1.8653815476190477E-2</v>
      </c>
      <c r="AP234" s="286">
        <v>-8.5045059523809544E-3</v>
      </c>
      <c r="AQ234" s="286">
        <v>4.4230892857142837E-3</v>
      </c>
      <c r="AR234" s="286">
        <v>6.1252559523809515E-3</v>
      </c>
      <c r="AS234" s="286">
        <v>8.8903154761904753E-3</v>
      </c>
      <c r="AT234" s="286">
        <v>6.6446190476190485E-3</v>
      </c>
      <c r="AU234" s="286">
        <v>9.1018214285714192E-3</v>
      </c>
      <c r="AV234" s="282">
        <f t="shared" ca="1" si="11"/>
        <v>-1.8303571428571891E-4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31.302800000000001</v>
      </c>
      <c r="G235" s="271">
        <v>31.66</v>
      </c>
      <c r="H235" s="271">
        <v>31.504999999999999</v>
      </c>
      <c r="I235" s="271">
        <v>30.635000000000002</v>
      </c>
      <c r="J235" s="271">
        <v>30.635000000000002</v>
      </c>
      <c r="K235" s="271">
        <v>31.22</v>
      </c>
      <c r="L235" s="271">
        <v>32.5</v>
      </c>
      <c r="M235" s="271">
        <v>33.11</v>
      </c>
      <c r="N235" s="271">
        <v>33</v>
      </c>
      <c r="O235" s="271">
        <v>32.555</v>
      </c>
      <c r="P235" s="271">
        <v>33.92</v>
      </c>
      <c r="Q235" s="271">
        <v>34.534999999999997</v>
      </c>
      <c r="R235" s="271">
        <v>34.496499999999997</v>
      </c>
      <c r="S235" s="271">
        <v>34.04</v>
      </c>
      <c r="T235" s="271">
        <v>33.58</v>
      </c>
      <c r="U235" s="271">
        <v>35.770000000000003</v>
      </c>
      <c r="V235" s="271">
        <v>35.43</v>
      </c>
      <c r="W235" s="271">
        <v>36.26</v>
      </c>
      <c r="X235" s="271">
        <v>36.831200000000003</v>
      </c>
      <c r="Y235" s="271">
        <v>36.69</v>
      </c>
      <c r="Z235" s="273">
        <f ca="1">[1]ExtEntry!$H35</f>
        <v>36.69</v>
      </c>
      <c r="AB235" s="282">
        <v>7.0395000000000013E-2</v>
      </c>
      <c r="AC235" s="282">
        <v>9.2971999999999999E-2</v>
      </c>
      <c r="AD235" s="282">
        <v>4.376699999999998E-2</v>
      </c>
      <c r="AE235" s="282">
        <v>-3.8651999999999992E-2</v>
      </c>
      <c r="AF235" s="282">
        <v>-5.2042999999999999E-2</v>
      </c>
      <c r="AG235" s="282">
        <v>-1.3212999999999999E-2</v>
      </c>
      <c r="AH235" s="282">
        <v>-8.3650000000000217E-3</v>
      </c>
      <c r="AI235" s="282">
        <v>1.4873999999999988E-2</v>
      </c>
      <c r="AJ235" s="282">
        <v>3.3514999999999996E-2</v>
      </c>
      <c r="AK235" s="282">
        <v>5.5265999999999982E-2</v>
      </c>
      <c r="AL235" s="282">
        <v>9.8117999999999983E-2</v>
      </c>
      <c r="AM235" s="282">
        <v>-1.7774166666666654E-3</v>
      </c>
      <c r="AN235" s="282">
        <v>2.8272738095238108E-3</v>
      </c>
      <c r="AO235" s="282">
        <v>6.8514285714285725E-4</v>
      </c>
      <c r="AP235" s="282">
        <v>1.8762083333333335E-3</v>
      </c>
      <c r="AQ235" s="282">
        <v>2.5453690476190476E-3</v>
      </c>
      <c r="AR235" s="282">
        <v>5.4723154761904761E-3</v>
      </c>
      <c r="AS235" s="282">
        <v>9.8633095238095242E-3</v>
      </c>
      <c r="AT235" s="282">
        <v>6.7714345238095233E-3</v>
      </c>
      <c r="AU235" s="282">
        <v>5.0468749999999993E-3</v>
      </c>
      <c r="AV235" s="282">
        <f t="shared" ref="AV235:AV266" ca="1" si="13">AVERAGE(S730:Z730)-AVERAGE(F730:Z730)</f>
        <v>3.0459464285714282E-3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5.48</v>
      </c>
      <c r="G236" s="271">
        <v>4.6600999999999999</v>
      </c>
      <c r="H236" s="271">
        <v>4.4801000000000002</v>
      </c>
      <c r="I236" s="271">
        <v>4.58</v>
      </c>
      <c r="J236" s="271">
        <v>4.58</v>
      </c>
      <c r="K236" s="271">
        <v>4.6399999999999997</v>
      </c>
      <c r="L236" s="271">
        <v>4.67</v>
      </c>
      <c r="M236" s="271">
        <v>4.5</v>
      </c>
      <c r="N236" s="271">
        <v>4.5199999999999996</v>
      </c>
      <c r="O236" s="271">
        <v>4.53</v>
      </c>
      <c r="P236" s="271">
        <v>4.47</v>
      </c>
      <c r="Q236" s="271">
        <v>4.4584000000000001</v>
      </c>
      <c r="R236" s="271">
        <v>4.4800000000000004</v>
      </c>
      <c r="S236" s="271">
        <v>4.3600000000000003</v>
      </c>
      <c r="T236" s="271">
        <v>4.42</v>
      </c>
      <c r="U236" s="271">
        <v>4.1100000000000003</v>
      </c>
      <c r="V236" s="271">
        <v>4.08</v>
      </c>
      <c r="W236" s="271">
        <v>3.87</v>
      </c>
      <c r="X236" s="271">
        <v>3.98</v>
      </c>
      <c r="Y236" s="271">
        <v>4.04</v>
      </c>
      <c r="Z236" s="273">
        <f ca="1">[1]ExtEntry!$H36</f>
        <v>4.04</v>
      </c>
      <c r="AB236" s="286">
        <v>-5.7453100000000021E-2</v>
      </c>
      <c r="AC236" s="286">
        <v>-0.21979209999999999</v>
      </c>
      <c r="AD236" s="286">
        <v>-0.17097010000000001</v>
      </c>
      <c r="AE236" s="286">
        <v>-0.19080209999999997</v>
      </c>
      <c r="AF236" s="286">
        <v>-0.2197771</v>
      </c>
      <c r="AG236" s="286">
        <v>-0.19986310000000002</v>
      </c>
      <c r="AH236" s="286">
        <v>-0.22663810000000001</v>
      </c>
      <c r="AI236" s="286">
        <v>-0.22575310000000001</v>
      </c>
      <c r="AJ236" s="286">
        <v>-0.22242310000000001</v>
      </c>
      <c r="AK236" s="286">
        <v>-0.23761010000000002</v>
      </c>
      <c r="AL236" s="286">
        <v>-0.24995500000000001</v>
      </c>
      <c r="AM236" s="286">
        <v>1.2940589285714288E-3</v>
      </c>
      <c r="AN236" s="286">
        <v>4.994802976190477E-3</v>
      </c>
      <c r="AO236" s="286">
        <v>1.1221422619047614E-3</v>
      </c>
      <c r="AP236" s="286">
        <v>3.1107434523809548E-3</v>
      </c>
      <c r="AQ236" s="286">
        <v>6.8332672619047623E-3</v>
      </c>
      <c r="AR236" s="286">
        <v>6.1549755952380984E-3</v>
      </c>
      <c r="AS236" s="286">
        <v>1.8863625000000005E-3</v>
      </c>
      <c r="AT236" s="286">
        <v>6.5150351190476213E-3</v>
      </c>
      <c r="AU236" s="286">
        <v>7.5310750000000017E-3</v>
      </c>
      <c r="AV236" s="282">
        <f t="shared" ca="1" si="13"/>
        <v>9.7877297619047635E-3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4.97</v>
      </c>
      <c r="G237" s="271">
        <v>5.0650000000000004</v>
      </c>
      <c r="H237" s="271">
        <v>4.8949999999999996</v>
      </c>
      <c r="I237" s="271">
        <v>4.9001000000000001</v>
      </c>
      <c r="J237" s="271">
        <v>4.9001000000000001</v>
      </c>
      <c r="K237" s="271">
        <v>4.9400000000000004</v>
      </c>
      <c r="L237" s="271">
        <v>5.35</v>
      </c>
      <c r="M237" s="271">
        <v>5.42</v>
      </c>
      <c r="N237" s="271">
        <v>5.38</v>
      </c>
      <c r="O237" s="271">
        <v>5.4881000000000002</v>
      </c>
      <c r="P237" s="271">
        <v>5.36</v>
      </c>
      <c r="Q237" s="271">
        <v>5.1100000000000003</v>
      </c>
      <c r="R237" s="271">
        <v>5.2100999999999997</v>
      </c>
      <c r="S237" s="271">
        <v>5.12</v>
      </c>
      <c r="T237" s="271">
        <v>5.2549999999999999</v>
      </c>
      <c r="U237" s="271">
        <v>5.35</v>
      </c>
      <c r="V237" s="271">
        <v>5.33</v>
      </c>
      <c r="W237" s="271">
        <v>5.6</v>
      </c>
      <c r="X237" s="271">
        <v>5.3449999999999998</v>
      </c>
      <c r="Y237" s="271">
        <v>5.24</v>
      </c>
      <c r="Z237" s="273">
        <f ca="1">[1]ExtEntry!$H37</f>
        <v>5.24</v>
      </c>
      <c r="AB237" s="282">
        <v>-0.16776999999999995</v>
      </c>
      <c r="AC237" s="282">
        <v>-0.15094299999999994</v>
      </c>
      <c r="AD237" s="282">
        <v>-0.21719299999999994</v>
      </c>
      <c r="AE237" s="282">
        <v>-0.298236</v>
      </c>
      <c r="AF237" s="282">
        <v>-0.39394000000000007</v>
      </c>
      <c r="AG237" s="282">
        <v>-0.44988000000000006</v>
      </c>
      <c r="AH237" s="282">
        <v>-0.38776600000000011</v>
      </c>
      <c r="AI237" s="282">
        <v>-0.3730790000000001</v>
      </c>
      <c r="AJ237" s="282">
        <v>-0.32267400000000002</v>
      </c>
      <c r="AK237" s="282">
        <v>-0.30782600000000004</v>
      </c>
      <c r="AL237" s="282">
        <v>-0.31567500000000004</v>
      </c>
      <c r="AM237" s="282">
        <v>4.4538273809523795E-3</v>
      </c>
      <c r="AN237" s="282">
        <v>6.2256071428571438E-3</v>
      </c>
      <c r="AO237" s="282">
        <v>3.6795059523809515E-3</v>
      </c>
      <c r="AP237" s="282">
        <v>3.0268749999999983E-3</v>
      </c>
      <c r="AQ237" s="282">
        <v>1.6394821428571439E-3</v>
      </c>
      <c r="AR237" s="282">
        <v>8.6701785714285787E-4</v>
      </c>
      <c r="AS237" s="282">
        <v>3.1192797619047589E-3</v>
      </c>
      <c r="AT237" s="282">
        <v>6.2717261904761913E-3</v>
      </c>
      <c r="AU237" s="282">
        <v>7.1721309523809524E-3</v>
      </c>
      <c r="AV237" s="282">
        <f t="shared" ca="1" si="13"/>
        <v>8.5926309523809523E-3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</v>
      </c>
      <c r="G238" s="271">
        <v>1.575</v>
      </c>
      <c r="H238" s="271">
        <v>1.2491000000000001</v>
      </c>
      <c r="I238" s="271">
        <v>1.3279000000000001</v>
      </c>
      <c r="J238" s="271">
        <v>1.3279000000000001</v>
      </c>
      <c r="K238" s="271">
        <v>1.4597</v>
      </c>
      <c r="L238" s="271">
        <v>1.45</v>
      </c>
      <c r="M238" s="271">
        <v>1.46</v>
      </c>
      <c r="N238" s="271">
        <v>1.63</v>
      </c>
      <c r="O238" s="271">
        <v>1.7250000000000001</v>
      </c>
      <c r="P238" s="271">
        <v>1.1499999999999999</v>
      </c>
      <c r="Q238" s="271">
        <v>1.07</v>
      </c>
      <c r="R238" s="271">
        <v>0.94589999999999996</v>
      </c>
      <c r="S238" s="271">
        <v>0.95340000000000003</v>
      </c>
      <c r="T238" s="271">
        <v>0.86219999999999997</v>
      </c>
      <c r="U238" s="271">
        <v>0.98</v>
      </c>
      <c r="V238" s="271">
        <v>0.98009999999999997</v>
      </c>
      <c r="W238" s="271">
        <v>0.99</v>
      </c>
      <c r="X238" s="271">
        <v>1.03</v>
      </c>
      <c r="Y238" s="271">
        <v>1.03</v>
      </c>
      <c r="Z238" s="273">
        <f ca="1">[1]ExtEntry!$H38</f>
        <v>1.03</v>
      </c>
      <c r="AB238" s="286">
        <v>0.32512800000000003</v>
      </c>
      <c r="AC238" s="286">
        <v>0.287937</v>
      </c>
      <c r="AD238" s="286">
        <v>0.34533000000000003</v>
      </c>
      <c r="AE238" s="286">
        <v>0.35364330999999999</v>
      </c>
      <c r="AF238" s="286">
        <v>0.34583761999999996</v>
      </c>
      <c r="AG238" s="286">
        <v>0.43547562000000006</v>
      </c>
      <c r="AH238" s="286">
        <v>0.41203161999999999</v>
      </c>
      <c r="AI238" s="286">
        <v>0.42003961999999995</v>
      </c>
      <c r="AJ238" s="286">
        <v>0.55247862000000003</v>
      </c>
      <c r="AK238" s="286">
        <v>0.60108862000000007</v>
      </c>
      <c r="AL238" s="286">
        <v>0.57981162000000008</v>
      </c>
      <c r="AM238" s="286">
        <v>-5.7823419642857102E-3</v>
      </c>
      <c r="AN238" s="286">
        <v>-1.2865309285714286E-2</v>
      </c>
      <c r="AO238" s="286">
        <v>-3.1827237857142865E-2</v>
      </c>
      <c r="AP238" s="286">
        <v>-2.8133154523809524E-2</v>
      </c>
      <c r="AQ238" s="286">
        <v>-2.9942850952380952E-2</v>
      </c>
      <c r="AR238" s="286">
        <v>-4.4666089047619054E-2</v>
      </c>
      <c r="AS238" s="286">
        <v>-4.9891606904761909E-2</v>
      </c>
      <c r="AT238" s="286">
        <v>-4.0395624761904766E-2</v>
      </c>
      <c r="AU238" s="286">
        <v>-2.7328880714285721E-2</v>
      </c>
      <c r="AV238" s="282">
        <f t="shared" ca="1" si="13"/>
        <v>-1.3014446190476189E-2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37.659999999999997</v>
      </c>
      <c r="G239" s="271">
        <v>38.409999999999997</v>
      </c>
      <c r="H239" s="271">
        <v>40.67</v>
      </c>
      <c r="I239" s="271">
        <v>39.36</v>
      </c>
      <c r="J239" s="271">
        <v>39.36</v>
      </c>
      <c r="K239" s="271">
        <v>41.36</v>
      </c>
      <c r="L239" s="271">
        <v>40.74</v>
      </c>
      <c r="M239" s="271">
        <v>41.62</v>
      </c>
      <c r="N239" s="271">
        <v>39.729999999999997</v>
      </c>
      <c r="O239" s="271">
        <v>40.19</v>
      </c>
      <c r="P239" s="271">
        <v>38.85</v>
      </c>
      <c r="Q239" s="271">
        <v>38.910200000000003</v>
      </c>
      <c r="R239" s="271">
        <v>39.32</v>
      </c>
      <c r="S239" s="271">
        <v>39.61</v>
      </c>
      <c r="T239" s="271">
        <v>40.130000000000003</v>
      </c>
      <c r="U239" s="271">
        <v>40.869999999999997</v>
      </c>
      <c r="V239" s="271">
        <v>35.93</v>
      </c>
      <c r="W239" s="271">
        <v>36.479999999999997</v>
      </c>
      <c r="X239" s="271">
        <v>37.803600000000003</v>
      </c>
      <c r="Y239" s="271">
        <v>37.96</v>
      </c>
      <c r="Z239" s="273">
        <f ca="1">[1]ExtEntry!$H39</f>
        <v>37.96</v>
      </c>
      <c r="AB239" s="282">
        <v>0.77723200000000003</v>
      </c>
      <c r="AC239" s="282">
        <v>0.79307100000000008</v>
      </c>
      <c r="AD239" s="282">
        <v>0.78892000000000007</v>
      </c>
      <c r="AE239" s="282">
        <v>0.72918000000000005</v>
      </c>
      <c r="AF239" s="282">
        <v>0.66111200000000003</v>
      </c>
      <c r="AG239" s="282">
        <v>0.6729099999999999</v>
      </c>
      <c r="AH239" s="282">
        <v>0.68497199999999991</v>
      </c>
      <c r="AI239" s="282">
        <v>0.71929799999999988</v>
      </c>
      <c r="AJ239" s="282">
        <v>0.68281099999999995</v>
      </c>
      <c r="AK239" s="282">
        <v>0.6386099999999999</v>
      </c>
      <c r="AL239" s="282">
        <v>0.62452799999999986</v>
      </c>
      <c r="AM239" s="282">
        <v>-2.7538083333333331E-2</v>
      </c>
      <c r="AN239" s="282">
        <v>-2.1670940476190472E-2</v>
      </c>
      <c r="AO239" s="282">
        <v>-2.6473547619047608E-2</v>
      </c>
      <c r="AP239" s="282">
        <v>-1.9870708333333327E-2</v>
      </c>
      <c r="AQ239" s="282">
        <v>-1.2508309523809524E-2</v>
      </c>
      <c r="AR239" s="282">
        <v>-1.6416666666666666E-2</v>
      </c>
      <c r="AS239" s="282">
        <v>-1.5263607142857138E-2</v>
      </c>
      <c r="AT239" s="282">
        <v>-8.3493869047619081E-3</v>
      </c>
      <c r="AU239" s="282">
        <v>-6.7481011904761915E-3</v>
      </c>
      <c r="AV239" s="282">
        <f t="shared" ca="1" si="13"/>
        <v>-6.1943333333333329E-3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34.58</v>
      </c>
      <c r="G240" s="271">
        <v>35.04</v>
      </c>
      <c r="H240" s="271">
        <v>35.200000000000003</v>
      </c>
      <c r="I240" s="271">
        <v>35.26</v>
      </c>
      <c r="J240" s="271">
        <v>35.26</v>
      </c>
      <c r="K240" s="271">
        <v>35.369999999999997</v>
      </c>
      <c r="L240" s="271">
        <v>35.35</v>
      </c>
      <c r="M240" s="271">
        <v>35</v>
      </c>
      <c r="N240" s="271">
        <v>34.92</v>
      </c>
      <c r="O240" s="271">
        <v>34.61</v>
      </c>
      <c r="P240" s="271">
        <v>34.56</v>
      </c>
      <c r="Q240" s="271">
        <v>33.86</v>
      </c>
      <c r="R240" s="271">
        <v>33.85</v>
      </c>
      <c r="S240" s="271">
        <v>34.770000000000003</v>
      </c>
      <c r="T240" s="271">
        <v>34.909999999999997</v>
      </c>
      <c r="U240" s="271">
        <v>35.82</v>
      </c>
      <c r="V240" s="271">
        <v>35.71</v>
      </c>
      <c r="W240" s="271">
        <v>35.86</v>
      </c>
      <c r="X240" s="271">
        <v>35.75</v>
      </c>
      <c r="Y240" s="271">
        <v>35.93</v>
      </c>
      <c r="Z240" s="273">
        <f ca="1">[1]ExtEntry!$H40</f>
        <v>35.93</v>
      </c>
      <c r="AB240" s="286">
        <v>-7.2408899999999998E-2</v>
      </c>
      <c r="AC240" s="286">
        <v>-6.7400900000000014E-2</v>
      </c>
      <c r="AD240" s="286">
        <v>-7.5148900000000018E-2</v>
      </c>
      <c r="AE240" s="286">
        <v>-8.689189999999998E-2</v>
      </c>
      <c r="AF240" s="286">
        <v>-6.1288900000000014E-2</v>
      </c>
      <c r="AG240" s="286">
        <v>-4.7842900000000015E-2</v>
      </c>
      <c r="AH240" s="286">
        <v>-4.2711900000000004E-2</v>
      </c>
      <c r="AI240" s="286">
        <v>-5.2060900000000007E-2</v>
      </c>
      <c r="AJ240" s="286">
        <v>-4.6337900000000001E-2</v>
      </c>
      <c r="AK240" s="286">
        <v>-5.3566900000000008E-2</v>
      </c>
      <c r="AL240" s="286">
        <v>-3.2387900000000004E-2</v>
      </c>
      <c r="AM240" s="286">
        <v>-1.8060821428571429E-3</v>
      </c>
      <c r="AN240" s="286">
        <v>-2.3830285714285708E-3</v>
      </c>
      <c r="AO240" s="286">
        <v>-4.5523690476190421E-4</v>
      </c>
      <c r="AP240" s="286">
        <v>1.7393761904761912E-3</v>
      </c>
      <c r="AQ240" s="286">
        <v>4.9143583333333338E-3</v>
      </c>
      <c r="AR240" s="286">
        <v>4.3382809523809527E-3</v>
      </c>
      <c r="AS240" s="286">
        <v>5.4567452380952378E-3</v>
      </c>
      <c r="AT240" s="286">
        <v>3.5869297619047628E-3</v>
      </c>
      <c r="AU240" s="286">
        <v>5.6836071428571439E-3</v>
      </c>
      <c r="AV240" s="282">
        <f t="shared" ca="1" si="13"/>
        <v>6.3009226190476201E-3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239.65</v>
      </c>
      <c r="G241" s="271">
        <v>238.7</v>
      </c>
      <c r="H241" s="271">
        <v>236.45</v>
      </c>
      <c r="I241" s="271">
        <v>236.9</v>
      </c>
      <c r="J241" s="271">
        <v>236.9</v>
      </c>
      <c r="K241" s="271">
        <v>233.75</v>
      </c>
      <c r="L241" s="271">
        <v>233</v>
      </c>
      <c r="M241" s="271">
        <v>231.85</v>
      </c>
      <c r="N241" s="271">
        <v>236.4</v>
      </c>
      <c r="O241" s="271">
        <v>236.35</v>
      </c>
      <c r="P241" s="271">
        <v>233.45</v>
      </c>
      <c r="Q241" s="271">
        <v>227.8</v>
      </c>
      <c r="R241" s="271">
        <v>230.45</v>
      </c>
      <c r="S241" s="271">
        <v>234.4</v>
      </c>
      <c r="T241" s="271">
        <v>232.1</v>
      </c>
      <c r="U241" s="271">
        <v>230.45</v>
      </c>
      <c r="V241" s="271">
        <v>230.3</v>
      </c>
      <c r="W241" s="271">
        <v>223.7</v>
      </c>
      <c r="X241" s="271">
        <v>219.8</v>
      </c>
      <c r="Y241" s="271">
        <v>220.9</v>
      </c>
      <c r="Z241" s="273">
        <f ca="1">[1]ExtEntry!$H41</f>
        <v>220.9</v>
      </c>
      <c r="AB241" s="282">
        <v>-0.123664</v>
      </c>
      <c r="AC241" s="282">
        <v>-0.12104399999999998</v>
      </c>
      <c r="AD241" s="282">
        <v>-0.12109299999999999</v>
      </c>
      <c r="AE241" s="282">
        <v>-0.11092700000000001</v>
      </c>
      <c r="AF241" s="282">
        <v>-6.8830999999999989E-2</v>
      </c>
      <c r="AG241" s="282">
        <v>-9.0165000000000009E-2</v>
      </c>
      <c r="AH241" s="282">
        <v>-7.7394000000000004E-2</v>
      </c>
      <c r="AI241" s="282">
        <v>-7.7860000000000013E-2</v>
      </c>
      <c r="AJ241" s="282">
        <v>-5.4357000000000003E-2</v>
      </c>
      <c r="AK241" s="282">
        <v>-7.2882500000000003E-2</v>
      </c>
      <c r="AL241" s="282">
        <v>-5.6633499999999996E-2</v>
      </c>
      <c r="AM241" s="282">
        <v>9.4971130952380958E-4</v>
      </c>
      <c r="AN241" s="282">
        <v>7.3959821428571434E-4</v>
      </c>
      <c r="AO241" s="282">
        <v>3.5970267857142859E-3</v>
      </c>
      <c r="AP241" s="282">
        <v>3.3866875000000008E-3</v>
      </c>
      <c r="AQ241" s="282">
        <v>5.1743244047619055E-3</v>
      </c>
      <c r="AR241" s="282">
        <v>3.7998321428571432E-3</v>
      </c>
      <c r="AS241" s="282">
        <v>7.394958333333335E-4</v>
      </c>
      <c r="AT241" s="282">
        <v>-1.6964982142857136E-3</v>
      </c>
      <c r="AU241" s="282">
        <v>-1.3625875000000003E-3</v>
      </c>
      <c r="AV241" s="282">
        <f t="shared" ca="1" si="13"/>
        <v>-1.2986589285714284E-3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15.355</v>
      </c>
      <c r="G242" s="271">
        <v>15.69</v>
      </c>
      <c r="H242" s="271">
        <v>15.66</v>
      </c>
      <c r="I242" s="271">
        <v>15.6</v>
      </c>
      <c r="J242" s="271">
        <v>15.6</v>
      </c>
      <c r="K242" s="271">
        <v>15.62</v>
      </c>
      <c r="L242" s="271">
        <v>15.57</v>
      </c>
      <c r="M242" s="271">
        <v>15.7</v>
      </c>
      <c r="N242" s="271">
        <v>15.53</v>
      </c>
      <c r="O242" s="271">
        <v>15.64</v>
      </c>
      <c r="P242" s="271">
        <v>15.25</v>
      </c>
      <c r="Q242" s="271">
        <v>15.06</v>
      </c>
      <c r="R242" s="271">
        <v>15.04</v>
      </c>
      <c r="S242" s="271">
        <v>15.13</v>
      </c>
      <c r="T242" s="271">
        <v>14.91</v>
      </c>
      <c r="U242" s="271">
        <v>15.11</v>
      </c>
      <c r="V242" s="271">
        <v>14.91</v>
      </c>
      <c r="W242" s="271">
        <v>14.9</v>
      </c>
      <c r="X242" s="271">
        <v>15.065</v>
      </c>
      <c r="Y242" s="271">
        <v>14.86</v>
      </c>
      <c r="Z242" s="273">
        <f ca="1">[1]ExtEntry!$H42</f>
        <v>14.86</v>
      </c>
      <c r="AB242" s="286">
        <v>-4.4200000000002224E-4</v>
      </c>
      <c r="AC242" s="286">
        <v>2.1199999999999972E-2</v>
      </c>
      <c r="AD242" s="286">
        <v>3.2999999999999757E-3</v>
      </c>
      <c r="AE242" s="286">
        <v>-1.3964000000000015E-2</v>
      </c>
      <c r="AF242" s="286">
        <v>-6.2990000000000004E-2</v>
      </c>
      <c r="AG242" s="286">
        <v>-0.10881740000000001</v>
      </c>
      <c r="AH242" s="286">
        <v>-5.0423400000000007E-2</v>
      </c>
      <c r="AI242" s="286">
        <v>-3.2764000000000109E-3</v>
      </c>
      <c r="AJ242" s="286">
        <v>1.3890600000000001E-2</v>
      </c>
      <c r="AK242" s="286">
        <v>2.8421599999999998E-2</v>
      </c>
      <c r="AL242" s="286">
        <v>1.9915600000000006E-2</v>
      </c>
      <c r="AM242" s="286">
        <v>-4.3722392857142847E-3</v>
      </c>
      <c r="AN242" s="286">
        <v>-4.5356619047619041E-3</v>
      </c>
      <c r="AO242" s="286">
        <v>-4.6385547619047611E-3</v>
      </c>
      <c r="AP242" s="286">
        <v>-6.7790130952380947E-3</v>
      </c>
      <c r="AQ242" s="286">
        <v>-5.79279880952381E-3</v>
      </c>
      <c r="AR242" s="286">
        <v>-5.2226083333333333E-3</v>
      </c>
      <c r="AS242" s="286">
        <v>-5.6957875000000005E-3</v>
      </c>
      <c r="AT242" s="286">
        <v>-1.8011386904761911E-3</v>
      </c>
      <c r="AU242" s="286">
        <v>-1.0697815476190479E-3</v>
      </c>
      <c r="AV242" s="282">
        <f t="shared" ca="1" si="13"/>
        <v>-1.2330077380952385E-3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9.15</v>
      </c>
      <c r="G243" s="271">
        <v>9.3096999999999994</v>
      </c>
      <c r="H243" s="271">
        <v>9.2799999999999994</v>
      </c>
      <c r="I243" s="271">
        <v>10.61</v>
      </c>
      <c r="J243" s="271">
        <v>10.61</v>
      </c>
      <c r="K243" s="271">
        <v>10.32</v>
      </c>
      <c r="L243" s="271">
        <v>10.92</v>
      </c>
      <c r="M243" s="271">
        <v>10.75</v>
      </c>
      <c r="N243" s="271">
        <v>11.04</v>
      </c>
      <c r="O243" s="271">
        <v>11.15</v>
      </c>
      <c r="P243" s="271">
        <v>10.65</v>
      </c>
      <c r="Q243" s="271">
        <v>10.26</v>
      </c>
      <c r="R243" s="271">
        <v>10.29</v>
      </c>
      <c r="S243" s="271">
        <v>10.14</v>
      </c>
      <c r="T243" s="271">
        <v>10.18</v>
      </c>
      <c r="U243" s="271">
        <v>10.3</v>
      </c>
      <c r="V243" s="271">
        <v>10.119999999999999</v>
      </c>
      <c r="W243" s="271">
        <v>9.8000000000000007</v>
      </c>
      <c r="X243" s="271">
        <v>9.8650000000000002</v>
      </c>
      <c r="Y243" s="271">
        <v>9.81</v>
      </c>
      <c r="Z243" s="273">
        <f ca="1">[1]ExtEntry!$H43</f>
        <v>9.81</v>
      </c>
      <c r="AB243" s="282">
        <v>-0.24857830000000003</v>
      </c>
      <c r="AC243" s="282">
        <v>-0.2311433</v>
      </c>
      <c r="AD243" s="282">
        <v>-0.25728529999999999</v>
      </c>
      <c r="AE243" s="282">
        <v>-0.13086630000000002</v>
      </c>
      <c r="AF243" s="282">
        <v>1.7775700000000005E-2</v>
      </c>
      <c r="AG243" s="282">
        <v>6.7269999999996707E-4</v>
      </c>
      <c r="AH243" s="282">
        <v>4.0496700000000004E-2</v>
      </c>
      <c r="AI243" s="282">
        <v>3.4946700000000004E-2</v>
      </c>
      <c r="AJ243" s="282">
        <v>3.8004700000000009E-2</v>
      </c>
      <c r="AK243" s="282">
        <v>4.7046999999999985E-2</v>
      </c>
      <c r="AL243" s="282">
        <v>-1.8379999999999994E-3</v>
      </c>
      <c r="AM243" s="282">
        <v>4.3622678571428597E-3</v>
      </c>
      <c r="AN243" s="282">
        <v>-1.4591511904761904E-2</v>
      </c>
      <c r="AO243" s="282">
        <v>-1.235154761904762E-2</v>
      </c>
      <c r="AP243" s="282">
        <v>-9.4861369047619035E-3</v>
      </c>
      <c r="AQ243" s="282">
        <v>-7.2179523809523787E-3</v>
      </c>
      <c r="AR243" s="282">
        <v>-1.2950910714285713E-2</v>
      </c>
      <c r="AS243" s="282">
        <v>-1.4569988095238098E-2</v>
      </c>
      <c r="AT243" s="282">
        <v>-8.806369047619049E-3</v>
      </c>
      <c r="AU243" s="282">
        <v>-1.9368749999999994E-3</v>
      </c>
      <c r="AV243" s="282">
        <f t="shared" ca="1" si="13"/>
        <v>-8.276315476190477E-3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331.375</v>
      </c>
      <c r="G244" s="271">
        <v>333.30500000000001</v>
      </c>
      <c r="H244" s="271">
        <v>332.74579999999997</v>
      </c>
      <c r="I244" s="271">
        <v>329.78320000000002</v>
      </c>
      <c r="J244" s="271">
        <v>329.78320000000002</v>
      </c>
      <c r="K244" s="271">
        <v>323.89999999999998</v>
      </c>
      <c r="L244" s="271">
        <v>346.6</v>
      </c>
      <c r="M244" s="271">
        <v>351.67</v>
      </c>
      <c r="N244" s="271">
        <v>349.6</v>
      </c>
      <c r="O244" s="271">
        <v>344.97800000000001</v>
      </c>
      <c r="P244" s="271">
        <v>333.87</v>
      </c>
      <c r="Q244" s="271">
        <v>327.73320000000001</v>
      </c>
      <c r="R244" s="271">
        <v>332.31</v>
      </c>
      <c r="S244" s="271">
        <v>334.09</v>
      </c>
      <c r="T244" s="271">
        <v>338.53</v>
      </c>
      <c r="U244" s="271">
        <v>346.4</v>
      </c>
      <c r="V244" s="271">
        <v>346.97</v>
      </c>
      <c r="W244" s="271">
        <v>347.79</v>
      </c>
      <c r="X244" s="271">
        <v>368.41</v>
      </c>
      <c r="Y244" s="271">
        <v>395.94</v>
      </c>
      <c r="Z244" s="273">
        <f ca="1">[1]ExtEntry!$H44</f>
        <v>395.94</v>
      </c>
      <c r="AB244" s="286">
        <v>-3.987999999999995E-3</v>
      </c>
      <c r="AC244" s="286">
        <v>-3.9428999999999985E-2</v>
      </c>
      <c r="AD244" s="286">
        <v>-2.6822999999999986E-2</v>
      </c>
      <c r="AE244" s="286">
        <v>-3.9345999999999964E-2</v>
      </c>
      <c r="AF244" s="286">
        <v>-5.6742999999999988E-2</v>
      </c>
      <c r="AG244" s="286">
        <v>-7.4525999999999981E-2</v>
      </c>
      <c r="AH244" s="286">
        <v>2.6826000000000003E-2</v>
      </c>
      <c r="AI244" s="286">
        <v>6.2099999999999916E-3</v>
      </c>
      <c r="AJ244" s="286">
        <v>-2.9828999999999977E-2</v>
      </c>
      <c r="AK244" s="286">
        <v>-3.6324999999999996E-2</v>
      </c>
      <c r="AL244" s="286">
        <v>-3.7568999999999998E-2</v>
      </c>
      <c r="AM244" s="286">
        <v>-7.0563690476190474E-3</v>
      </c>
      <c r="AN244" s="286">
        <v>-5.2292559523809522E-3</v>
      </c>
      <c r="AO244" s="286">
        <v>-1.4563452380952386E-3</v>
      </c>
      <c r="AP244" s="286">
        <v>-2.9338452380952389E-3</v>
      </c>
      <c r="AQ244" s="286">
        <v>-4.015601190476191E-3</v>
      </c>
      <c r="AR244" s="286">
        <v>-3.6516547619047622E-3</v>
      </c>
      <c r="AS244" s="286">
        <v>-7.8332142857142923E-4</v>
      </c>
      <c r="AT244" s="286">
        <v>9.534720238095238E-3</v>
      </c>
      <c r="AU244" s="286">
        <v>1.777880357142857E-2</v>
      </c>
      <c r="AV244" s="282">
        <f t="shared" ca="1" si="13"/>
        <v>2.2289922619047615E-2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239.88</v>
      </c>
      <c r="G245" s="271">
        <v>239.2312</v>
      </c>
      <c r="H245" s="271">
        <v>240.9375</v>
      </c>
      <c r="I245" s="271">
        <v>233.99</v>
      </c>
      <c r="J245" s="271">
        <v>233.99</v>
      </c>
      <c r="K245" s="271">
        <v>228.74</v>
      </c>
      <c r="L245" s="271">
        <v>235.62</v>
      </c>
      <c r="M245" s="271">
        <v>238.52</v>
      </c>
      <c r="N245" s="271">
        <v>239.26</v>
      </c>
      <c r="O245" s="271">
        <v>238.05</v>
      </c>
      <c r="P245" s="271">
        <v>230.87</v>
      </c>
      <c r="Q245" s="271">
        <v>226.80500000000001</v>
      </c>
      <c r="R245" s="271">
        <v>230.22</v>
      </c>
      <c r="S245" s="271">
        <v>231.39</v>
      </c>
      <c r="T245" s="271">
        <v>235.21</v>
      </c>
      <c r="U245" s="271">
        <v>247.18</v>
      </c>
      <c r="V245" s="271">
        <v>250.88</v>
      </c>
      <c r="W245" s="271">
        <v>260.42</v>
      </c>
      <c r="X245" s="271">
        <v>258.81</v>
      </c>
      <c r="Y245" s="271">
        <v>259.38</v>
      </c>
      <c r="Z245" s="273">
        <f ca="1">[1]ExtEntry!$H45</f>
        <v>259.38</v>
      </c>
      <c r="AB245" s="282">
        <v>-2.9397600000000003E-2</v>
      </c>
      <c r="AC245" s="282">
        <v>-9.1716000000000089E-3</v>
      </c>
      <c r="AD245" s="282">
        <v>4.4333999999999901E-3</v>
      </c>
      <c r="AE245" s="282">
        <v>-1.985460000000001E-2</v>
      </c>
      <c r="AF245" s="282">
        <v>-7.5015600000000002E-2</v>
      </c>
      <c r="AG245" s="282">
        <v>-0.1164586</v>
      </c>
      <c r="AH245" s="282">
        <v>-0.11037160000000001</v>
      </c>
      <c r="AI245" s="282">
        <v>-0.11444960000000001</v>
      </c>
      <c r="AJ245" s="282">
        <v>-0.10062359999999999</v>
      </c>
      <c r="AK245" s="282">
        <v>-0.11276660000000002</v>
      </c>
      <c r="AL245" s="282">
        <v>-0.13923360000000001</v>
      </c>
      <c r="AM245" s="282">
        <v>-3.4000249999999992E-3</v>
      </c>
      <c r="AN245" s="282">
        <v>-2.0125714285714261E-4</v>
      </c>
      <c r="AO245" s="282">
        <v>3.3503440476190475E-3</v>
      </c>
      <c r="AP245" s="282">
        <v>1.9077785714285713E-3</v>
      </c>
      <c r="AQ245" s="282">
        <v>1.3140107142857148E-3</v>
      </c>
      <c r="AR245" s="282">
        <v>4.1869273809523816E-3</v>
      </c>
      <c r="AS245" s="282">
        <v>7.4807785714285733E-3</v>
      </c>
      <c r="AT245" s="282">
        <v>1.0922880952380951E-2</v>
      </c>
      <c r="AU245" s="282">
        <v>1.3683154761904761E-2</v>
      </c>
      <c r="AV245" s="282">
        <f t="shared" ca="1" si="13"/>
        <v>1.230345238095238E-2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37.450000000000003</v>
      </c>
      <c r="G246" s="271">
        <v>38.200000000000003</v>
      </c>
      <c r="H246" s="271">
        <v>37.549999999999997</v>
      </c>
      <c r="I246" s="271">
        <v>37.549999999999997</v>
      </c>
      <c r="J246" s="271">
        <v>37.549999999999997</v>
      </c>
      <c r="K246" s="271">
        <v>37.65</v>
      </c>
      <c r="L246" s="271">
        <v>38.5</v>
      </c>
      <c r="M246" s="271">
        <v>37.5</v>
      </c>
      <c r="N246" s="271">
        <v>37.1</v>
      </c>
      <c r="O246" s="271">
        <v>37.700000000000003</v>
      </c>
      <c r="P246" s="271">
        <v>36.549999999999997</v>
      </c>
      <c r="Q246" s="271">
        <v>35.299999999999997</v>
      </c>
      <c r="R246" s="271">
        <v>35.799999999999997</v>
      </c>
      <c r="S246" s="271">
        <v>35.799999999999997</v>
      </c>
      <c r="T246" s="271">
        <v>36.6</v>
      </c>
      <c r="U246" s="271">
        <v>35.200000000000003</v>
      </c>
      <c r="V246" s="271">
        <v>35.6</v>
      </c>
      <c r="W246" s="271">
        <v>36.25</v>
      </c>
      <c r="X246" s="271">
        <v>35.35</v>
      </c>
      <c r="Y246" s="271">
        <v>36.25</v>
      </c>
      <c r="Z246" s="273">
        <f ca="1">[1]ExtEntry!$H46</f>
        <v>36.25</v>
      </c>
      <c r="AB246" s="286">
        <v>2.0215000000000007E-2</v>
      </c>
      <c r="AC246" s="286">
        <v>4.6882E-2</v>
      </c>
      <c r="AD246" s="286">
        <v>3.1202999999999991E-2</v>
      </c>
      <c r="AE246" s="286">
        <v>2.4588999999999993E-2</v>
      </c>
      <c r="AF246" s="286">
        <v>1.3932000000000002E-2</v>
      </c>
      <c r="AG246" s="286">
        <v>1.3910000000000009E-2</v>
      </c>
      <c r="AH246" s="286">
        <v>4.4632000000000005E-2</v>
      </c>
      <c r="AI246" s="286">
        <v>1.8658000000000004E-2</v>
      </c>
      <c r="AJ246" s="286">
        <v>1.0682999999999998E-2</v>
      </c>
      <c r="AK246" s="286">
        <v>6.0776999999999991E-2</v>
      </c>
      <c r="AL246" s="286">
        <v>4.6113000000000001E-2</v>
      </c>
      <c r="AM246" s="286">
        <v>-5.8363988095238087E-3</v>
      </c>
      <c r="AN246" s="286">
        <v>-3.1758630952380953E-3</v>
      </c>
      <c r="AO246" s="286">
        <v>-3.4269285714285704E-3</v>
      </c>
      <c r="AP246" s="286">
        <v>-5.9938273809523801E-3</v>
      </c>
      <c r="AQ246" s="286">
        <v>-3.6281011904761898E-3</v>
      </c>
      <c r="AR246" s="286">
        <v>-6.7236904761904708E-4</v>
      </c>
      <c r="AS246" s="286">
        <v>-2.2122678571428562E-3</v>
      </c>
      <c r="AT246" s="286">
        <v>-1.2710238095238096E-3</v>
      </c>
      <c r="AU246" s="286">
        <v>9.6557619047619031E-3</v>
      </c>
      <c r="AV246" s="282">
        <f t="shared" ca="1" si="13"/>
        <v>8.8201904761904745E-3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6.53</v>
      </c>
      <c r="G247" s="271">
        <v>6.1849999999999996</v>
      </c>
      <c r="H247" s="271">
        <v>6.2050000000000001</v>
      </c>
      <c r="I247" s="271">
        <v>6.2</v>
      </c>
      <c r="J247" s="271">
        <v>6.2</v>
      </c>
      <c r="K247" s="271">
        <v>6.1</v>
      </c>
      <c r="L247" s="271">
        <v>6.28</v>
      </c>
      <c r="M247" s="271">
        <v>6.49</v>
      </c>
      <c r="N247" s="271">
        <v>6.63</v>
      </c>
      <c r="O247" s="271">
        <v>6.8</v>
      </c>
      <c r="P247" s="271">
        <v>6.3</v>
      </c>
      <c r="Q247" s="271">
        <v>6.0449999999999999</v>
      </c>
      <c r="R247" s="271">
        <v>5.9850000000000003</v>
      </c>
      <c r="S247" s="271">
        <v>6.03</v>
      </c>
      <c r="T247" s="271">
        <v>6.25</v>
      </c>
      <c r="U247" s="271">
        <v>7.2450000000000001</v>
      </c>
      <c r="V247" s="271">
        <v>7.14</v>
      </c>
      <c r="W247" s="271">
        <v>6.85</v>
      </c>
      <c r="X247" s="271">
        <v>7.1349999999999998</v>
      </c>
      <c r="Y247" s="271">
        <v>6.94</v>
      </c>
      <c r="Z247" s="273">
        <f ca="1">[1]ExtEntry!$H47</f>
        <v>6.94</v>
      </c>
      <c r="AB247" s="282">
        <v>-0.15778599999999998</v>
      </c>
      <c r="AC247" s="282">
        <v>-0.19794199999999995</v>
      </c>
      <c r="AD247" s="282">
        <v>-0.29587000000000002</v>
      </c>
      <c r="AE247" s="282">
        <v>-0.40616599999999997</v>
      </c>
      <c r="AF247" s="282">
        <v>-0.46213599999999999</v>
      </c>
      <c r="AG247" s="282">
        <v>-0.53410599999999997</v>
      </c>
      <c r="AH247" s="282">
        <v>-0.55961099999999997</v>
      </c>
      <c r="AI247" s="282">
        <v>-0.52963199999999999</v>
      </c>
      <c r="AJ247" s="282">
        <v>-0.49081899999999995</v>
      </c>
      <c r="AK247" s="282">
        <v>-0.46163799999999999</v>
      </c>
      <c r="AL247" s="282">
        <v>-0.45058200000000004</v>
      </c>
      <c r="AM247" s="282">
        <v>1.5277065476190479E-2</v>
      </c>
      <c r="AN247" s="282">
        <v>1.4664488095238105E-2</v>
      </c>
      <c r="AO247" s="282">
        <v>1.7161613095238098E-2</v>
      </c>
      <c r="AP247" s="282">
        <v>1.6027773809523811E-2</v>
      </c>
      <c r="AQ247" s="282">
        <v>2.0929375000000004E-2</v>
      </c>
      <c r="AR247" s="282">
        <v>1.608927380952381E-2</v>
      </c>
      <c r="AS247" s="282">
        <v>5.9371488095238114E-3</v>
      </c>
      <c r="AT247" s="282">
        <v>1.6832124999999996E-2</v>
      </c>
      <c r="AU247" s="282">
        <v>2.0830303571428573E-2</v>
      </c>
      <c r="AV247" s="282">
        <f t="shared" ca="1" si="13"/>
        <v>1.6044749999999997E-2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309.58999999999997</v>
      </c>
      <c r="G248" s="271">
        <v>305.61</v>
      </c>
      <c r="H248" s="271">
        <v>302.52050000000003</v>
      </c>
      <c r="I248" s="271">
        <v>294.26</v>
      </c>
      <c r="J248" s="271">
        <v>294.26</v>
      </c>
      <c r="K248" s="271">
        <v>291.17</v>
      </c>
      <c r="L248" s="271">
        <v>294.23</v>
      </c>
      <c r="M248" s="271">
        <v>298.01</v>
      </c>
      <c r="N248" s="271">
        <v>300.30259999999998</v>
      </c>
      <c r="O248" s="271">
        <v>308.43</v>
      </c>
      <c r="P248" s="271">
        <v>297.39</v>
      </c>
      <c r="Q248" s="271">
        <v>294.36009999999999</v>
      </c>
      <c r="R248" s="271">
        <v>299.44</v>
      </c>
      <c r="S248" s="271">
        <v>302.39</v>
      </c>
      <c r="T248" s="271">
        <v>306.10000000000002</v>
      </c>
      <c r="U248" s="271">
        <v>345.65</v>
      </c>
      <c r="V248" s="271">
        <v>336.67</v>
      </c>
      <c r="W248" s="271">
        <v>369.57</v>
      </c>
      <c r="X248" s="271">
        <v>359.58</v>
      </c>
      <c r="Y248" s="271">
        <v>359.87</v>
      </c>
      <c r="Z248" s="273">
        <f ca="1">[1]ExtEntry!$H48</f>
        <v>359.87</v>
      </c>
      <c r="AB248" s="286">
        <v>7.7867000000000006E-2</v>
      </c>
      <c r="AC248" s="286">
        <v>7.5344999999999995E-2</v>
      </c>
      <c r="AD248" s="286">
        <v>4.6306999999999994E-2</v>
      </c>
      <c r="AE248" s="286">
        <v>-8.4919999999999995E-3</v>
      </c>
      <c r="AF248" s="286">
        <v>-6.4408999999999994E-2</v>
      </c>
      <c r="AG248" s="286">
        <v>-9.5396999999999996E-2</v>
      </c>
      <c r="AH248" s="286">
        <v>-0.1123097</v>
      </c>
      <c r="AI248" s="286">
        <v>-0.10455470000000001</v>
      </c>
      <c r="AJ248" s="286">
        <v>-0.11105969999999998</v>
      </c>
      <c r="AK248" s="286">
        <v>-0.10153369999999996</v>
      </c>
      <c r="AL248" s="286">
        <v>-0.1085387</v>
      </c>
      <c r="AM248" s="286">
        <v>-1.1156672619047625E-3</v>
      </c>
      <c r="AN248" s="286">
        <v>3.0767077380952378E-3</v>
      </c>
      <c r="AO248" s="286">
        <v>6.3501898809523805E-3</v>
      </c>
      <c r="AP248" s="286">
        <v>6.4356464285714281E-3</v>
      </c>
      <c r="AQ248" s="286">
        <v>8.7367833333333346E-3</v>
      </c>
      <c r="AR248" s="286">
        <v>5.5090869047619041E-3</v>
      </c>
      <c r="AS248" s="286">
        <v>9.8135511904761906E-3</v>
      </c>
      <c r="AT248" s="286">
        <v>1.2114896428571428E-2</v>
      </c>
      <c r="AU248" s="286">
        <v>1.483932619047619E-2</v>
      </c>
      <c r="AV248" s="282">
        <f t="shared" ca="1" si="13"/>
        <v>1.3355922619047618E-2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30.395</v>
      </c>
      <c r="G249" s="271">
        <v>30.684999999999999</v>
      </c>
      <c r="H249" s="271">
        <v>30.207999999999998</v>
      </c>
      <c r="I249" s="271">
        <v>30.807500000000001</v>
      </c>
      <c r="J249" s="271">
        <v>30.807500000000001</v>
      </c>
      <c r="K249" s="271">
        <v>30.91</v>
      </c>
      <c r="L249" s="271">
        <v>30.81</v>
      </c>
      <c r="M249" s="271">
        <v>30.87</v>
      </c>
      <c r="N249" s="271">
        <v>30.55</v>
      </c>
      <c r="O249" s="271">
        <v>30.704999999999998</v>
      </c>
      <c r="P249" s="271">
        <v>30.724</v>
      </c>
      <c r="Q249" s="271">
        <v>29.54</v>
      </c>
      <c r="R249" s="271">
        <v>29.312000000000001</v>
      </c>
      <c r="S249" s="271">
        <v>29.36</v>
      </c>
      <c r="T249" s="271">
        <v>29.23</v>
      </c>
      <c r="U249" s="271">
        <v>29.18</v>
      </c>
      <c r="V249" s="271">
        <v>29.24</v>
      </c>
      <c r="W249" s="271">
        <v>29.14</v>
      </c>
      <c r="X249" s="271">
        <v>29.524999999999999</v>
      </c>
      <c r="Y249" s="271">
        <v>29.313500000000001</v>
      </c>
      <c r="Z249" s="273">
        <f ca="1">[1]ExtEntry!$H49</f>
        <v>29.313500000000001</v>
      </c>
      <c r="AB249" s="282">
        <v>0.1941147</v>
      </c>
      <c r="AC249" s="282">
        <v>0.20650970000000002</v>
      </c>
      <c r="AD249" s="282">
        <v>0.15774170000000001</v>
      </c>
      <c r="AE249" s="282">
        <v>0.14888170000000003</v>
      </c>
      <c r="AF249" s="282">
        <v>8.3961699999999986E-2</v>
      </c>
      <c r="AG249" s="282">
        <v>1.3896999999999905E-3</v>
      </c>
      <c r="AH249" s="282">
        <v>-4.0623000000000083E-3</v>
      </c>
      <c r="AI249" s="282">
        <v>-9.9543000000000062E-3</v>
      </c>
      <c r="AJ249" s="282">
        <v>3.6777000000000025E-3</v>
      </c>
      <c r="AK249" s="282">
        <v>2.7118700000000013E-2</v>
      </c>
      <c r="AL249" s="282">
        <v>3.4676699999999998E-2</v>
      </c>
      <c r="AM249" s="282">
        <v>-6.3091940476190465E-3</v>
      </c>
      <c r="AN249" s="282">
        <v>-9.9912297619047623E-3</v>
      </c>
      <c r="AO249" s="282">
        <v>-1.134109880952381E-2</v>
      </c>
      <c r="AP249" s="282">
        <v>-8.6379499999999984E-3</v>
      </c>
      <c r="AQ249" s="282">
        <v>-8.5460571428571403E-3</v>
      </c>
      <c r="AR249" s="282">
        <v>-5.8376404761904758E-3</v>
      </c>
      <c r="AS249" s="282">
        <v>-6.0475809523809539E-3</v>
      </c>
      <c r="AT249" s="282">
        <v>-5.2792714285714287E-3</v>
      </c>
      <c r="AU249" s="282">
        <v>-1.122119047619061E-4</v>
      </c>
      <c r="AV249" s="282">
        <f t="shared" ca="1" si="13"/>
        <v>1.1223452380952365E-4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60.2</v>
      </c>
      <c r="H250" s="271">
        <v>60.9</v>
      </c>
      <c r="I250" s="271">
        <v>61.3</v>
      </c>
      <c r="J250" s="271">
        <v>61.3</v>
      </c>
      <c r="K250" s="271">
        <v>60.8</v>
      </c>
      <c r="L250" s="271">
        <v>61.6</v>
      </c>
      <c r="M250" s="271">
        <v>61.4</v>
      </c>
      <c r="N250" s="271">
        <v>61.5</v>
      </c>
      <c r="O250" s="271">
        <v>61.5</v>
      </c>
      <c r="P250" s="271">
        <v>61</v>
      </c>
      <c r="Q250" s="271">
        <v>60.3</v>
      </c>
      <c r="R250" s="271">
        <v>60.4</v>
      </c>
      <c r="S250" s="271">
        <v>61.5</v>
      </c>
      <c r="T250" s="271">
        <v>62</v>
      </c>
      <c r="U250" s="271">
        <v>61.8</v>
      </c>
      <c r="V250" s="271">
        <v>61.8</v>
      </c>
      <c r="W250" s="271">
        <v>61.7</v>
      </c>
      <c r="X250" s="271">
        <v>61.4</v>
      </c>
      <c r="Y250" s="271">
        <v>61.3</v>
      </c>
      <c r="Z250" s="273">
        <f ca="1">[1]ExtEntry!$H50</f>
        <v>61.3</v>
      </c>
      <c r="AB250" s="286">
        <v>-0.25186099999999984</v>
      </c>
      <c r="AC250" s="286">
        <v>-0.25640899999999989</v>
      </c>
      <c r="AD250" s="286">
        <v>-0.23350900000000002</v>
      </c>
      <c r="AE250" s="286">
        <v>-0.21799599999999997</v>
      </c>
      <c r="AF250" s="286">
        <v>-0.21563700000000002</v>
      </c>
      <c r="AG250" s="286">
        <v>-0.11009099999999995</v>
      </c>
      <c r="AH250" s="286">
        <v>1.5273E-2</v>
      </c>
      <c r="AI250" s="286">
        <v>-1.3069999999999905E-3</v>
      </c>
      <c r="AJ250" s="286">
        <v>2.1704000000000001E-2</v>
      </c>
      <c r="AK250" s="286">
        <v>2.0020000000000003E-2</v>
      </c>
      <c r="AL250" s="286">
        <v>2.1701000000000005E-2</v>
      </c>
      <c r="AM250" s="286">
        <v>-2.1952500000000002E-3</v>
      </c>
      <c r="AN250" s="286">
        <v>-3.3032976190476189E-3</v>
      </c>
      <c r="AO250" s="286">
        <v>-1.3750119047619051E-3</v>
      </c>
      <c r="AP250" s="286">
        <v>-1.319452380952381E-3</v>
      </c>
      <c r="AQ250" s="286">
        <v>-1.3254166666666644E-4</v>
      </c>
      <c r="AR250" s="286">
        <v>-1.7611904761904778E-4</v>
      </c>
      <c r="AS250" s="286">
        <v>-1.4179761904761887E-4</v>
      </c>
      <c r="AT250" s="286">
        <v>-1.2054761904761887E-4</v>
      </c>
      <c r="AU250" s="286">
        <v>1.2666309523809525E-3</v>
      </c>
      <c r="AV250" s="282">
        <f t="shared" ca="1" si="13"/>
        <v>9.8314880952380941E-4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10.57</v>
      </c>
      <c r="G251" s="271">
        <v>10.56</v>
      </c>
      <c r="H251" s="271">
        <v>10.73</v>
      </c>
      <c r="I251" s="271">
        <v>10.625</v>
      </c>
      <c r="J251" s="271">
        <v>10.625</v>
      </c>
      <c r="K251" s="271">
        <v>10.65</v>
      </c>
      <c r="L251" s="271">
        <v>10.55</v>
      </c>
      <c r="M251" s="271">
        <v>10.41</v>
      </c>
      <c r="N251" s="271">
        <v>10.42</v>
      </c>
      <c r="O251" s="271">
        <v>10.2599</v>
      </c>
      <c r="P251" s="271">
        <v>10.55</v>
      </c>
      <c r="Q251" s="271">
        <v>10.49</v>
      </c>
      <c r="R251" s="271">
        <v>10.545</v>
      </c>
      <c r="S251" s="271">
        <v>10.55</v>
      </c>
      <c r="T251" s="271">
        <v>10.33</v>
      </c>
      <c r="U251" s="271">
        <v>10.48</v>
      </c>
      <c r="V251" s="271">
        <v>10.45</v>
      </c>
      <c r="W251" s="271">
        <v>10.24</v>
      </c>
      <c r="X251" s="271">
        <v>10.14</v>
      </c>
      <c r="Y251" s="271">
        <v>9.9600000000000009</v>
      </c>
      <c r="Z251" s="273">
        <f ca="1">[1]ExtEntry!$H51</f>
        <v>9.9600000000000009</v>
      </c>
      <c r="AB251" s="282">
        <v>0.10617800000000001</v>
      </c>
      <c r="AC251" s="282">
        <v>0.13339099999999998</v>
      </c>
      <c r="AD251" s="282">
        <v>0.135129</v>
      </c>
      <c r="AE251" s="282">
        <v>0.13240660000000001</v>
      </c>
      <c r="AF251" s="282">
        <v>0.11786720000000001</v>
      </c>
      <c r="AG251" s="282">
        <v>0.1009892</v>
      </c>
      <c r="AH251" s="282">
        <v>9.3733200000000003E-2</v>
      </c>
      <c r="AI251" s="282">
        <v>7.404620000000002E-2</v>
      </c>
      <c r="AJ251" s="282">
        <v>9.0946800000000008E-2</v>
      </c>
      <c r="AK251" s="282">
        <v>9.6256799999999976E-2</v>
      </c>
      <c r="AL251" s="282">
        <v>0.13859479999999996</v>
      </c>
      <c r="AM251" s="282">
        <v>-1.0047524999999998E-2</v>
      </c>
      <c r="AN251" s="282">
        <v>-9.7172249999999977E-3</v>
      </c>
      <c r="AO251" s="282">
        <v>-9.3582845238095215E-3</v>
      </c>
      <c r="AP251" s="282">
        <v>-9.5851119047619029E-3</v>
      </c>
      <c r="AQ251" s="282">
        <v>-9.2933916666666627E-3</v>
      </c>
      <c r="AR251" s="282">
        <v>-6.6690083333333329E-3</v>
      </c>
      <c r="AS251" s="282">
        <v>-4.8074309523809524E-3</v>
      </c>
      <c r="AT251" s="282">
        <v>-6.4587821428571416E-3</v>
      </c>
      <c r="AU251" s="282">
        <v>-6.0900797619047623E-3</v>
      </c>
      <c r="AV251" s="282">
        <f t="shared" ca="1" si="13"/>
        <v>-6.6121333333333332E-3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11.955</v>
      </c>
      <c r="G252" s="271">
        <v>12.0244</v>
      </c>
      <c r="H252" s="271">
        <v>11.994999999999999</v>
      </c>
      <c r="I252" s="271">
        <v>12.045</v>
      </c>
      <c r="J252" s="271">
        <v>12.045</v>
      </c>
      <c r="K252" s="271">
        <v>12.2</v>
      </c>
      <c r="L252" s="271">
        <v>11.97</v>
      </c>
      <c r="M252" s="271">
        <v>11.92</v>
      </c>
      <c r="N252" s="271">
        <v>11.98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3.5992500000000004E-2</v>
      </c>
      <c r="AC252" s="286">
        <v>3.51309E-2</v>
      </c>
      <c r="AD252" s="286">
        <v>3.8918500000000002E-2</v>
      </c>
      <c r="AE252" s="286">
        <v>4.0057499999999996E-2</v>
      </c>
      <c r="AF252" s="286">
        <v>4.4674100000000008E-2</v>
      </c>
      <c r="AG252" s="286">
        <v>5.5474700000000002E-2</v>
      </c>
      <c r="AH252" s="286">
        <v>4.1985700000000001E-2</v>
      </c>
      <c r="AI252" s="286">
        <v>3.6082699999999995E-2</v>
      </c>
      <c r="AJ252" s="286">
        <v>3.9393700000000004E-2</v>
      </c>
      <c r="AK252" s="286">
        <v>4.3567099999999997E-2</v>
      </c>
      <c r="AL252" s="286">
        <v>4.270729999999999E-2</v>
      </c>
      <c r="AM252" s="286">
        <v>-5.8152142857142855E-4</v>
      </c>
      <c r="AN252" s="286">
        <v>-1.0502714285714285E-3</v>
      </c>
      <c r="AO252" s="286">
        <v>-2.1488309523809523E-3</v>
      </c>
      <c r="AP252" s="286">
        <v>-9.9068214285714311E-4</v>
      </c>
      <c r="AQ252" s="286">
        <v>1.0172857142857128E-4</v>
      </c>
      <c r="AR252" s="286">
        <v>-3.2623571428571426E-4</v>
      </c>
      <c r="AS252" s="286">
        <v>-8.3543809523809517E-4</v>
      </c>
      <c r="AT252" s="286">
        <v>-1.1544857142857144E-3</v>
      </c>
      <c r="AU252" s="286">
        <v>-1.1143333333333333E-3</v>
      </c>
      <c r="AV252" s="282">
        <f t="shared" ca="1" si="13"/>
        <v>-1.054142857142857E-3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106.7</v>
      </c>
      <c r="G253" s="271">
        <v>107.05</v>
      </c>
      <c r="H253" s="271">
        <v>106.86499999999999</v>
      </c>
      <c r="I253" s="271">
        <v>107.19499999999999</v>
      </c>
      <c r="J253" s="271">
        <v>107.19499999999999</v>
      </c>
      <c r="K253" s="271">
        <v>108.55</v>
      </c>
      <c r="L253" s="271">
        <v>111.745</v>
      </c>
      <c r="M253" s="271">
        <v>111.53</v>
      </c>
      <c r="N253" s="271">
        <v>112.72</v>
      </c>
      <c r="O253" s="271">
        <v>112.85</v>
      </c>
      <c r="P253" s="271">
        <v>114.29</v>
      </c>
      <c r="Q253" s="271">
        <v>114.43</v>
      </c>
      <c r="R253" s="271">
        <v>112.26</v>
      </c>
      <c r="S253" s="271">
        <v>111.91</v>
      </c>
      <c r="T253" s="271">
        <v>112.4</v>
      </c>
      <c r="U253" s="271">
        <v>109.9</v>
      </c>
      <c r="V253" s="271">
        <v>110.675</v>
      </c>
      <c r="W253" s="271">
        <v>112.54</v>
      </c>
      <c r="X253" s="271">
        <v>112.29</v>
      </c>
      <c r="Y253" s="271">
        <v>112.19</v>
      </c>
      <c r="Z253" s="273">
        <f ca="1">[1]ExtEntry!$H53</f>
        <v>112.19</v>
      </c>
      <c r="AB253" s="282">
        <v>-3.0104000000000002E-2</v>
      </c>
      <c r="AC253" s="282">
        <v>-1.6000000000000007E-3</v>
      </c>
      <c r="AD253" s="282">
        <v>-6.8010000000000032E-3</v>
      </c>
      <c r="AE253" s="282">
        <v>-4.9479999999999993E-3</v>
      </c>
      <c r="AF253" s="282">
        <v>-1.3302999999999999E-2</v>
      </c>
      <c r="AG253" s="282">
        <v>-1.5589999999999993E-2</v>
      </c>
      <c r="AH253" s="282">
        <v>-1.9688999999999988E-2</v>
      </c>
      <c r="AI253" s="282">
        <v>-1.8318999999999995E-2</v>
      </c>
      <c r="AJ253" s="282">
        <v>-1.6978999999999991E-2</v>
      </c>
      <c r="AK253" s="282">
        <v>-7.9420999999999867E-3</v>
      </c>
      <c r="AL253" s="282">
        <v>1.959900000000017E-3</v>
      </c>
      <c r="AM253" s="282">
        <v>3.7367958333333331E-3</v>
      </c>
      <c r="AN253" s="282">
        <v>6.8777797619047534E-4</v>
      </c>
      <c r="AO253" s="282">
        <v>-2.6056863095238092E-3</v>
      </c>
      <c r="AP253" s="282">
        <v>-2.8690196428571425E-3</v>
      </c>
      <c r="AQ253" s="282">
        <v>-2.4614422619047621E-3</v>
      </c>
      <c r="AR253" s="282">
        <v>-3.1341208333333336E-3</v>
      </c>
      <c r="AS253" s="282">
        <v>-1.5749059523809518E-3</v>
      </c>
      <c r="AT253" s="282">
        <v>-3.1684297619047619E-3</v>
      </c>
      <c r="AU253" s="282">
        <v>-3.1565744047619042E-3</v>
      </c>
      <c r="AV253" s="282">
        <f t="shared" ca="1" si="13"/>
        <v>-3.457130952380955E-4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5.82</v>
      </c>
      <c r="G254" s="271">
        <v>5.84</v>
      </c>
      <c r="H254" s="271">
        <v>6.05</v>
      </c>
      <c r="I254" s="271">
        <v>6.165</v>
      </c>
      <c r="J254" s="271">
        <v>6.165</v>
      </c>
      <c r="K254" s="271">
        <v>6.04</v>
      </c>
      <c r="L254" s="271">
        <v>6.24</v>
      </c>
      <c r="M254" s="271">
        <v>6.01</v>
      </c>
      <c r="N254" s="271">
        <v>6.09</v>
      </c>
      <c r="O254" s="271">
        <v>6.0359999999999996</v>
      </c>
      <c r="P254" s="271">
        <v>6</v>
      </c>
      <c r="Q254" s="271">
        <v>5.8550000000000004</v>
      </c>
      <c r="R254" s="271">
        <v>5.93</v>
      </c>
      <c r="S254" s="271">
        <v>5.88</v>
      </c>
      <c r="T254" s="271">
        <v>6.02</v>
      </c>
      <c r="U254" s="271">
        <v>6.13</v>
      </c>
      <c r="V254" s="271">
        <v>6.01</v>
      </c>
      <c r="W254" s="271">
        <v>5.94</v>
      </c>
      <c r="X254" s="271">
        <v>6.0549999999999997</v>
      </c>
      <c r="Y254" s="271">
        <v>6.03</v>
      </c>
      <c r="Z254" s="273">
        <f ca="1">[1]ExtEntry!$H54</f>
        <v>6.03</v>
      </c>
      <c r="AB254" s="286">
        <v>-0.16131299999999998</v>
      </c>
      <c r="AC254" s="286">
        <v>-0.16105899999999998</v>
      </c>
      <c r="AD254" s="286">
        <v>-0.143897</v>
      </c>
      <c r="AE254" s="286">
        <v>-0.133298</v>
      </c>
      <c r="AF254" s="286">
        <v>-0.14626400000000001</v>
      </c>
      <c r="AG254" s="286">
        <v>-0.18437200000000001</v>
      </c>
      <c r="AH254" s="286">
        <v>-0.15247900000000003</v>
      </c>
      <c r="AI254" s="286">
        <v>-0.18491600000000002</v>
      </c>
      <c r="AJ254" s="286">
        <v>-0.17027900000000004</v>
      </c>
      <c r="AK254" s="286">
        <v>-0.14959699999999998</v>
      </c>
      <c r="AL254" s="286">
        <v>-0.12096399999999999</v>
      </c>
      <c r="AM254" s="286">
        <v>-3.2703273809523807E-3</v>
      </c>
      <c r="AN254" s="286">
        <v>-4.7286547619047603E-3</v>
      </c>
      <c r="AO254" s="286">
        <v>-2.209333333333334E-3</v>
      </c>
      <c r="AP254" s="286">
        <v>-1.1363869047619057E-3</v>
      </c>
      <c r="AQ254" s="286">
        <v>2.7514345238095245E-3</v>
      </c>
      <c r="AR254" s="286">
        <v>1.4138928571428575E-3</v>
      </c>
      <c r="AS254" s="286">
        <v>2.1756309523809523E-3</v>
      </c>
      <c r="AT254" s="286">
        <v>3.3344583333333329E-3</v>
      </c>
      <c r="AU254" s="286">
        <v>6.4834880952380951E-3</v>
      </c>
      <c r="AV254" s="282">
        <f t="shared" ca="1" si="13"/>
        <v>5.2075416666666659E-3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0.94</v>
      </c>
      <c r="H255" s="271">
        <v>0.96</v>
      </c>
      <c r="I255" s="271">
        <v>0.94799999999999995</v>
      </c>
      <c r="J255" s="271">
        <v>0.94799999999999995</v>
      </c>
      <c r="K255" s="271">
        <v>0.94</v>
      </c>
      <c r="L255" s="271">
        <v>0.91800000000000004</v>
      </c>
      <c r="M255" s="271">
        <v>0.91</v>
      </c>
      <c r="N255" s="271">
        <v>0.91800000000000004</v>
      </c>
      <c r="O255" s="271">
        <v>0.91800000000000004</v>
      </c>
      <c r="P255" s="271">
        <v>0.91200000000000003</v>
      </c>
      <c r="Q255" s="271">
        <v>0.9</v>
      </c>
      <c r="R255" s="271">
        <v>0.92800000000000005</v>
      </c>
      <c r="S255" s="271">
        <v>0.9</v>
      </c>
      <c r="T255" s="271">
        <v>0.89200000000000002</v>
      </c>
      <c r="U255" s="271">
        <v>0.89</v>
      </c>
      <c r="V255" s="271">
        <v>0.90200000000000002</v>
      </c>
      <c r="W255" s="271">
        <v>0.90800000000000003</v>
      </c>
      <c r="X255" s="271">
        <v>0.88800000000000001</v>
      </c>
      <c r="Y255" s="271">
        <v>0.89</v>
      </c>
      <c r="Z255" s="273">
        <f ca="1">[1]ExtEntry!$H55</f>
        <v>0.89</v>
      </c>
      <c r="AB255" s="282">
        <v>-1.0553000000000017E-2</v>
      </c>
      <c r="AC255" s="282">
        <v>-1.4365000000000024E-2</v>
      </c>
      <c r="AD255" s="282">
        <v>-2.5118000000000008E-2</v>
      </c>
      <c r="AE255" s="282">
        <v>-1.208600000000001E-2</v>
      </c>
      <c r="AF255" s="282">
        <v>-2.904000000000001E-2</v>
      </c>
      <c r="AG255" s="282">
        <v>-1.3089000000000019E-2</v>
      </c>
      <c r="AH255" s="282">
        <v>-5.2014000000000005E-2</v>
      </c>
      <c r="AI255" s="282">
        <v>-7.6013000000000011E-2</v>
      </c>
      <c r="AJ255" s="282">
        <v>-7.7975000000000017E-2</v>
      </c>
      <c r="AK255" s="282">
        <v>-6.5072000000000019E-2</v>
      </c>
      <c r="AL255" s="282">
        <v>-9.4969999999999999E-2</v>
      </c>
      <c r="AM255" s="282">
        <v>-6.4649226190476175E-3</v>
      </c>
      <c r="AN255" s="282">
        <v>-3.6337380952380948E-3</v>
      </c>
      <c r="AO255" s="282">
        <v>-4.8075535714285703E-3</v>
      </c>
      <c r="AP255" s="282">
        <v>-2.1191071428571396E-4</v>
      </c>
      <c r="AQ255" s="282">
        <v>-1.4525476190476189E-3</v>
      </c>
      <c r="AR255" s="282">
        <v>-2.3584285714285703E-3</v>
      </c>
      <c r="AS255" s="282">
        <v>3.2083333333333399E-4</v>
      </c>
      <c r="AT255" s="282">
        <v>2.4954107142857143E-3</v>
      </c>
      <c r="AU255" s="282">
        <v>6.3011071428571439E-3</v>
      </c>
      <c r="AV255" s="282">
        <f t="shared" ca="1" si="13"/>
        <v>1.9985892857142867E-3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2.06</v>
      </c>
      <c r="G256" s="271">
        <v>2.0901000000000001</v>
      </c>
      <c r="H256" s="271">
        <v>2.0099999999999998</v>
      </c>
      <c r="I256" s="271">
        <v>1.9850000000000001</v>
      </c>
      <c r="J256" s="271">
        <v>1.9850000000000001</v>
      </c>
      <c r="K256" s="271">
        <v>1.97</v>
      </c>
      <c r="L256" s="271">
        <v>2.1749999999999998</v>
      </c>
      <c r="M256" s="271">
        <v>2.145</v>
      </c>
      <c r="N256" s="271">
        <v>2.5649999999999999</v>
      </c>
      <c r="O256" s="271">
        <v>2.4241999999999999</v>
      </c>
      <c r="P256" s="271">
        <v>2.2999999999999998</v>
      </c>
      <c r="Q256" s="271">
        <v>2.2050000000000001</v>
      </c>
      <c r="R256" s="271">
        <v>2.1202999999999999</v>
      </c>
      <c r="S256" s="271">
        <v>2.0499999999999998</v>
      </c>
      <c r="T256" s="271">
        <v>2.0499999999999998</v>
      </c>
      <c r="U256" s="271">
        <v>2.17</v>
      </c>
      <c r="V256" s="271">
        <v>2.1</v>
      </c>
      <c r="W256" s="271">
        <v>2.12</v>
      </c>
      <c r="X256" s="271">
        <v>2.25</v>
      </c>
      <c r="Y256" s="271">
        <v>2.2250000000000001</v>
      </c>
      <c r="Z256" s="273">
        <f ca="1">[1]ExtEntry!$H56</f>
        <v>2.2250000000000001</v>
      </c>
      <c r="AB256" s="286">
        <v>0.16109699999999999</v>
      </c>
      <c r="AC256" s="286">
        <v>0.14370284999999997</v>
      </c>
      <c r="AD256" s="286">
        <v>9.2940849999999964E-2</v>
      </c>
      <c r="AE256" s="286">
        <v>8.6108499999999477E-3</v>
      </c>
      <c r="AF256" s="286">
        <v>-4.1628150000000058E-2</v>
      </c>
      <c r="AG256" s="286">
        <v>-4.1628150000000058E-2</v>
      </c>
      <c r="AH256" s="286">
        <v>1.7523849999999987E-2</v>
      </c>
      <c r="AI256" s="286">
        <v>4.6681849999999928E-2</v>
      </c>
      <c r="AJ256" s="286">
        <v>0.25359384999999995</v>
      </c>
      <c r="AK256" s="286">
        <v>0.2064988499999999</v>
      </c>
      <c r="AL256" s="286">
        <v>0.18480784999999994</v>
      </c>
      <c r="AM256" s="286">
        <v>-5.0498678571428554E-3</v>
      </c>
      <c r="AN256" s="286">
        <v>-1.7654988095238073E-3</v>
      </c>
      <c r="AO256" s="286">
        <v>-5.6359095238095215E-3</v>
      </c>
      <c r="AP256" s="286">
        <v>-7.5027785714285675E-3</v>
      </c>
      <c r="AQ256" s="286">
        <v>-5.1760642857142831E-3</v>
      </c>
      <c r="AR256" s="286">
        <v>-3.0250379761904759E-2</v>
      </c>
      <c r="AS256" s="286">
        <v>-2.1394433333333334E-2</v>
      </c>
      <c r="AT256" s="286">
        <v>-1.1746552380952378E-2</v>
      </c>
      <c r="AU256" s="286">
        <v>6.761191666666666E-3</v>
      </c>
      <c r="AV256" s="282">
        <f t="shared" ca="1" si="13"/>
        <v>7.549251190476192E-3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26.64</v>
      </c>
      <c r="G257" s="271">
        <v>26.99</v>
      </c>
      <c r="H257" s="271">
        <v>26.7</v>
      </c>
      <c r="I257" s="271">
        <v>27</v>
      </c>
      <c r="J257" s="271">
        <v>27</v>
      </c>
      <c r="K257" s="271">
        <v>27.29</v>
      </c>
      <c r="L257" s="271">
        <v>26.79</v>
      </c>
      <c r="M257" s="271">
        <v>26.45</v>
      </c>
      <c r="N257" s="271">
        <v>26.84</v>
      </c>
      <c r="O257" s="271">
        <v>26.98</v>
      </c>
      <c r="P257" s="271">
        <v>26.69</v>
      </c>
      <c r="Q257" s="271">
        <v>26.34</v>
      </c>
      <c r="R257" s="271">
        <v>26.45</v>
      </c>
      <c r="S257" s="271">
        <v>26.56</v>
      </c>
      <c r="T257" s="271">
        <v>26.86</v>
      </c>
      <c r="U257" s="271">
        <v>27.38</v>
      </c>
      <c r="V257" s="271">
        <v>27.83</v>
      </c>
      <c r="W257" s="271">
        <v>27.36</v>
      </c>
      <c r="X257" s="271">
        <v>27.29</v>
      </c>
      <c r="Y257" s="271">
        <v>27.56</v>
      </c>
      <c r="Z257" s="273">
        <f ca="1">[1]ExtEntry!$H57</f>
        <v>27.56</v>
      </c>
      <c r="AB257" s="282">
        <v>-0.19537359999999998</v>
      </c>
      <c r="AC257" s="282">
        <v>-0.17480559999999998</v>
      </c>
      <c r="AD257" s="282">
        <v>-0.18124699999999996</v>
      </c>
      <c r="AE257" s="282">
        <v>-0.15733</v>
      </c>
      <c r="AF257" s="282">
        <v>-0.15124699999999999</v>
      </c>
      <c r="AG257" s="282">
        <v>-0.170515</v>
      </c>
      <c r="AH257" s="282">
        <v>-9.9270999999999998E-2</v>
      </c>
      <c r="AI257" s="282">
        <v>-0.12799699999999994</v>
      </c>
      <c r="AJ257" s="282">
        <v>-0.10989400000000001</v>
      </c>
      <c r="AK257" s="282">
        <v>-8.7495000000000017E-2</v>
      </c>
      <c r="AL257" s="282">
        <v>-7.4513000000000024E-2</v>
      </c>
      <c r="AM257" s="282">
        <v>3.5861130952380953E-3</v>
      </c>
      <c r="AN257" s="282">
        <v>1.063083333333333E-3</v>
      </c>
      <c r="AO257" s="282">
        <v>-1.8938214285714309E-4</v>
      </c>
      <c r="AP257" s="282">
        <v>1.4005940476190476E-3</v>
      </c>
      <c r="AQ257" s="282">
        <v>4.266980952380952E-3</v>
      </c>
      <c r="AR257" s="282">
        <v>3.7994214285714282E-3</v>
      </c>
      <c r="AS257" s="282">
        <v>1.7197547619047617E-3</v>
      </c>
      <c r="AT257" s="282">
        <v>5.104154761904759E-4</v>
      </c>
      <c r="AU257" s="282">
        <v>1.4340583333333334E-3</v>
      </c>
      <c r="AV257" s="282">
        <f t="shared" ca="1" si="13"/>
        <v>2.0969630952380959E-3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15.984999999999999</v>
      </c>
      <c r="G258" s="271">
        <v>15.85</v>
      </c>
      <c r="H258" s="271">
        <v>15.715</v>
      </c>
      <c r="I258" s="271">
        <v>15.695</v>
      </c>
      <c r="J258" s="271">
        <v>15.695</v>
      </c>
      <c r="K258" s="271">
        <v>15.615</v>
      </c>
      <c r="L258" s="271">
        <v>15.414999999999999</v>
      </c>
      <c r="M258" s="271">
        <v>15.57</v>
      </c>
      <c r="N258" s="271">
        <v>15.675000000000001</v>
      </c>
      <c r="O258" s="271">
        <v>15.515000000000001</v>
      </c>
      <c r="P258" s="271">
        <v>15.105</v>
      </c>
      <c r="Q258" s="271">
        <v>14.675000000000001</v>
      </c>
      <c r="R258" s="271">
        <v>14.605</v>
      </c>
      <c r="S258" s="271">
        <v>15.015000000000001</v>
      </c>
      <c r="T258" s="271">
        <v>15.04</v>
      </c>
      <c r="U258" s="271">
        <v>15.345000000000001</v>
      </c>
      <c r="V258" s="271">
        <v>15.305</v>
      </c>
      <c r="W258" s="271">
        <v>15.33</v>
      </c>
      <c r="X258" s="271">
        <v>15.295</v>
      </c>
      <c r="Y258" s="271">
        <v>15.525</v>
      </c>
      <c r="Z258" s="273">
        <f ca="1">[1]ExtEntry!$H58</f>
        <v>15.525</v>
      </c>
      <c r="AB258" s="286">
        <v>3.6649999999999964E-4</v>
      </c>
      <c r="AC258" s="286">
        <v>-1.9427500000000007E-2</v>
      </c>
      <c r="AD258" s="286">
        <v>-4.320149999999999E-2</v>
      </c>
      <c r="AE258" s="286">
        <v>-4.6723500000000001E-2</v>
      </c>
      <c r="AF258" s="286">
        <v>-2.3921499999999998E-2</v>
      </c>
      <c r="AG258" s="286">
        <v>-2.1466500000000003E-2</v>
      </c>
      <c r="AH258" s="286">
        <v>-1.8373500000000004E-2</v>
      </c>
      <c r="AI258" s="286">
        <v>-5.4725000000000017E-3</v>
      </c>
      <c r="AJ258" s="286">
        <v>5.0775000000000022E-3</v>
      </c>
      <c r="AK258" s="286">
        <v>-1.40555E-2</v>
      </c>
      <c r="AL258" s="286">
        <v>-3.1453499999999995E-2</v>
      </c>
      <c r="AM258" s="286">
        <v>-2.1048452380952373E-3</v>
      </c>
      <c r="AN258" s="286">
        <v>-1.9939821428571428E-3</v>
      </c>
      <c r="AO258" s="286">
        <v>6.5680952380952349E-4</v>
      </c>
      <c r="AP258" s="286">
        <v>1.1196845238095232E-3</v>
      </c>
      <c r="AQ258" s="286">
        <v>1.1962797619047608E-3</v>
      </c>
      <c r="AR258" s="286">
        <v>-6.5702380952380873E-4</v>
      </c>
      <c r="AS258" s="286">
        <v>-7.7309523809523766E-5</v>
      </c>
      <c r="AT258" s="286">
        <v>7.743333333333339E-4</v>
      </c>
      <c r="AU258" s="286">
        <v>4.9237261904761902E-3</v>
      </c>
      <c r="AV258" s="282">
        <f t="shared" ca="1" si="13"/>
        <v>7.5635654761904755E-3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14.972</v>
      </c>
      <c r="G259" s="271">
        <v>14.972</v>
      </c>
      <c r="H259" s="271">
        <v>14.93</v>
      </c>
      <c r="I259" s="271">
        <v>15.002000000000001</v>
      </c>
      <c r="J259" s="271">
        <v>15.002000000000001</v>
      </c>
      <c r="K259" s="271">
        <v>15.086</v>
      </c>
      <c r="L259" s="271">
        <v>15.246</v>
      </c>
      <c r="M259" s="271">
        <v>15.19</v>
      </c>
      <c r="N259" s="271">
        <v>15.224</v>
      </c>
      <c r="O259" s="271">
        <v>15.172000000000001</v>
      </c>
      <c r="P259" s="271">
        <v>15.342000000000001</v>
      </c>
      <c r="Q259" s="271">
        <v>15.124000000000001</v>
      </c>
      <c r="R259" s="271">
        <v>14.92</v>
      </c>
      <c r="S259" s="271">
        <v>14.917999999999999</v>
      </c>
      <c r="T259" s="271">
        <v>14.882</v>
      </c>
      <c r="U259" s="271">
        <v>14.688000000000001</v>
      </c>
      <c r="V259" s="271">
        <v>14.944000000000001</v>
      </c>
      <c r="W259" s="271">
        <v>14.958</v>
      </c>
      <c r="X259" s="271">
        <v>14.922000000000001</v>
      </c>
      <c r="Y259" s="271">
        <v>14.882</v>
      </c>
      <c r="Z259" s="273">
        <f ca="1">[1]ExtEntry!$H59</f>
        <v>14.882</v>
      </c>
      <c r="AB259" s="282">
        <v>5.0230200000000003E-2</v>
      </c>
      <c r="AC259" s="282">
        <v>4.502119999999999E-2</v>
      </c>
      <c r="AD259" s="282">
        <v>4.2639799999999985E-2</v>
      </c>
      <c r="AE259" s="282">
        <v>4.8371799999999993E-2</v>
      </c>
      <c r="AF259" s="282">
        <v>4.2667799999999985E-2</v>
      </c>
      <c r="AG259" s="282">
        <v>4.4070799999999986E-2</v>
      </c>
      <c r="AH259" s="282">
        <v>3.8259799999999997E-2</v>
      </c>
      <c r="AI259" s="282">
        <v>1.6392799999999999E-2</v>
      </c>
      <c r="AJ259" s="282">
        <v>1.2901799999999998E-2</v>
      </c>
      <c r="AK259" s="282">
        <v>3.5417999999999947E-3</v>
      </c>
      <c r="AL259" s="282">
        <v>9.0287999999999966E-3</v>
      </c>
      <c r="AM259" s="282">
        <v>-5.6768690476190469E-4</v>
      </c>
      <c r="AN259" s="282">
        <v>-2.9251035714285712E-3</v>
      </c>
      <c r="AO259" s="282">
        <v>-3.391294047619048E-3</v>
      </c>
      <c r="AP259" s="282">
        <v>-3.5307404761904765E-3</v>
      </c>
      <c r="AQ259" s="282">
        <v>-2.2656452380952381E-3</v>
      </c>
      <c r="AR259" s="282">
        <v>-1.4780559523809521E-3</v>
      </c>
      <c r="AS259" s="282">
        <v>-9.9786071428571428E-4</v>
      </c>
      <c r="AT259" s="282">
        <v>-2.0879083333333335E-3</v>
      </c>
      <c r="AU259" s="282">
        <v>-2.4167023809523806E-4</v>
      </c>
      <c r="AV259" s="282">
        <f t="shared" ca="1" si="13"/>
        <v>1.6098059523809527E-3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</v>
      </c>
      <c r="G260" s="271">
        <v>1.9147000000000001</v>
      </c>
      <c r="H260" s="271">
        <v>1.915</v>
      </c>
      <c r="I260" s="271">
        <v>1.92</v>
      </c>
      <c r="J260" s="271">
        <v>1.92</v>
      </c>
      <c r="K260" s="271">
        <v>1.93</v>
      </c>
      <c r="L260" s="271">
        <v>0.78259999999999996</v>
      </c>
      <c r="M260" s="271">
        <v>0.2631</v>
      </c>
      <c r="N260" s="271">
        <v>0.24560000000000001</v>
      </c>
      <c r="O260" s="271">
        <v>0.2349</v>
      </c>
      <c r="P260" s="271">
        <v>0.24</v>
      </c>
      <c r="Q260" s="271">
        <v>0.2334</v>
      </c>
      <c r="R260" s="271">
        <v>0.23499999999999999</v>
      </c>
      <c r="S260" s="271">
        <v>0.23649999999999999</v>
      </c>
      <c r="T260" s="271">
        <v>0.2316</v>
      </c>
      <c r="U260" s="271">
        <v>0.2369</v>
      </c>
      <c r="V260" s="271">
        <v>0.24</v>
      </c>
      <c r="W260" s="271">
        <v>0.20499999999999999</v>
      </c>
      <c r="X260" s="271">
        <v>0.20499999999999999</v>
      </c>
      <c r="Y260" s="271">
        <v>0.2029</v>
      </c>
      <c r="Z260" s="273">
        <f ca="1">[1]ExtEntry!$H60</f>
        <v>0.2029</v>
      </c>
      <c r="AB260" s="286">
        <v>1.3638999999999995E-2</v>
      </c>
      <c r="AC260" s="286">
        <v>1.3552999999999997E-2</v>
      </c>
      <c r="AD260" s="286">
        <v>1.1099999999999992E-2</v>
      </c>
      <c r="AE260" s="286">
        <v>2.1654999999999994E-2</v>
      </c>
      <c r="AF260" s="286">
        <v>2.1514999999999992E-2</v>
      </c>
      <c r="AG260" s="286">
        <v>2.6609999999999995E-2</v>
      </c>
      <c r="AH260" s="286">
        <v>2.3010869999999999</v>
      </c>
      <c r="AI260" s="286">
        <v>1.6319260000000002</v>
      </c>
      <c r="AJ260" s="286">
        <v>1.5707300000000002</v>
      </c>
      <c r="AK260" s="286">
        <v>1.5218150000000001</v>
      </c>
      <c r="AL260" s="286">
        <v>1.5430920000000001</v>
      </c>
      <c r="AM260" s="286">
        <v>0.11658720238095237</v>
      </c>
      <c r="AN260" s="286">
        <v>0.11470133928571427</v>
      </c>
      <c r="AO260" s="286">
        <v>0.11264720833333333</v>
      </c>
      <c r="AP260" s="286">
        <v>-0.17301238690476189</v>
      </c>
      <c r="AQ260" s="286">
        <v>-8.9210648809523799E-2</v>
      </c>
      <c r="AR260" s="286">
        <v>-7.9119714285714279E-2</v>
      </c>
      <c r="AS260" s="286">
        <v>-8.4833202380952377E-2</v>
      </c>
      <c r="AT260" s="286">
        <v>-8.7492827380952376E-2</v>
      </c>
      <c r="AU260" s="286">
        <v>-8.5034351190476157E-2</v>
      </c>
      <c r="AV260" s="282">
        <f t="shared" ca="1" si="13"/>
        <v>-8.3899583333333305E-2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58.5</v>
      </c>
      <c r="G261" s="271">
        <v>58.66</v>
      </c>
      <c r="H261" s="271">
        <v>58</v>
      </c>
      <c r="I261" s="271">
        <v>58.32</v>
      </c>
      <c r="J261" s="271">
        <v>58.32</v>
      </c>
      <c r="K261" s="271">
        <v>57.42</v>
      </c>
      <c r="L261" s="271">
        <v>55.82</v>
      </c>
      <c r="M261" s="271">
        <v>52</v>
      </c>
      <c r="N261" s="271">
        <v>52</v>
      </c>
      <c r="O261" s="271">
        <v>52.64</v>
      </c>
      <c r="P261" s="271">
        <v>53.14</v>
      </c>
      <c r="Q261" s="271">
        <v>52.28</v>
      </c>
      <c r="R261" s="271">
        <v>52.74</v>
      </c>
      <c r="S261" s="271">
        <v>53.38</v>
      </c>
      <c r="T261" s="271">
        <v>53.94</v>
      </c>
      <c r="U261" s="271">
        <v>53.76</v>
      </c>
      <c r="V261" s="271">
        <v>54.32</v>
      </c>
      <c r="W261" s="271">
        <v>55.82</v>
      </c>
      <c r="X261" s="271">
        <v>57.6</v>
      </c>
      <c r="Y261" s="271">
        <v>57.26</v>
      </c>
      <c r="Z261" s="273">
        <f ca="1">[1]ExtEntry!$H61</f>
        <v>57.26</v>
      </c>
      <c r="AB261" s="282">
        <v>0.14899850000000003</v>
      </c>
      <c r="AC261" s="282">
        <v>0.14911449999999998</v>
      </c>
      <c r="AD261" s="282">
        <v>0.12922449999999999</v>
      </c>
      <c r="AE261" s="282">
        <v>0.14131050000000001</v>
      </c>
      <c r="AF261" s="282">
        <v>0.13644250000000002</v>
      </c>
      <c r="AG261" s="282">
        <v>0.10266949999999998</v>
      </c>
      <c r="AH261" s="282">
        <v>5.0201499999999996E-2</v>
      </c>
      <c r="AI261" s="282">
        <v>-1.5881500000000007E-2</v>
      </c>
      <c r="AJ261" s="282">
        <v>-1.3917499999999999E-2</v>
      </c>
      <c r="AK261" s="282">
        <v>-1.5159500000000006E-2</v>
      </c>
      <c r="AL261" s="282">
        <v>-7.5947499999999987E-2</v>
      </c>
      <c r="AM261" s="282">
        <v>-1.0508958333333334E-2</v>
      </c>
      <c r="AN261" s="282">
        <v>-1.3051982142857141E-2</v>
      </c>
      <c r="AO261" s="282">
        <v>-9.4204464285714273E-3</v>
      </c>
      <c r="AP261" s="282">
        <v>-5.0814761904761901E-3</v>
      </c>
      <c r="AQ261" s="282">
        <v>5.0253630952380949E-3</v>
      </c>
      <c r="AR261" s="282">
        <v>6.7396309523809518E-3</v>
      </c>
      <c r="AS261" s="282">
        <v>8.1114047619047606E-3</v>
      </c>
      <c r="AT261" s="282">
        <v>9.5996011904761879E-3</v>
      </c>
      <c r="AU261" s="282">
        <v>1.1949494047619046E-2</v>
      </c>
      <c r="AV261" s="282">
        <f t="shared" ca="1" si="13"/>
        <v>1.0399148809523808E-2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14.41</v>
      </c>
      <c r="G262" s="271">
        <v>14.45</v>
      </c>
      <c r="H262" s="271">
        <v>14.5</v>
      </c>
      <c r="I262" s="271">
        <v>14.385</v>
      </c>
      <c r="J262" s="271">
        <v>14.385</v>
      </c>
      <c r="K262" s="271">
        <v>14.484999999999999</v>
      </c>
      <c r="L262" s="271">
        <v>14.215</v>
      </c>
      <c r="M262" s="271">
        <v>13.875</v>
      </c>
      <c r="N262" s="271">
        <v>13.86</v>
      </c>
      <c r="O262" s="271">
        <v>13.744999999999999</v>
      </c>
      <c r="P262" s="271">
        <v>13.885</v>
      </c>
      <c r="Q262" s="271">
        <v>13.775</v>
      </c>
      <c r="R262" s="271">
        <v>13.52</v>
      </c>
      <c r="S262" s="271">
        <v>13.68</v>
      </c>
      <c r="T262" s="271">
        <v>13.68</v>
      </c>
      <c r="U262" s="271">
        <v>13.525</v>
      </c>
      <c r="V262" s="271">
        <v>13.67</v>
      </c>
      <c r="W262" s="271">
        <v>13.72</v>
      </c>
      <c r="X262" s="271">
        <v>13.89</v>
      </c>
      <c r="Y262" s="271">
        <v>13.9</v>
      </c>
      <c r="Z262" s="273">
        <f ca="1">[1]ExtEntry!$H62</f>
        <v>13.9</v>
      </c>
      <c r="AB262" s="286">
        <v>0.11182300000000001</v>
      </c>
      <c r="AC262" s="286">
        <v>0.11118500000000001</v>
      </c>
      <c r="AD262" s="286">
        <v>0.12481700000000001</v>
      </c>
      <c r="AE262" s="286">
        <v>0.10949400000000001</v>
      </c>
      <c r="AF262" s="286">
        <v>0.11053300000000002</v>
      </c>
      <c r="AG262" s="286">
        <v>0.11176600000000002</v>
      </c>
      <c r="AH262" s="286">
        <v>7.9359000000000013E-2</v>
      </c>
      <c r="AI262" s="286">
        <v>5.393700000000004E-2</v>
      </c>
      <c r="AJ262" s="286">
        <v>7.350200000000004E-2</v>
      </c>
      <c r="AK262" s="286">
        <v>6.4078000000000024E-2</v>
      </c>
      <c r="AL262" s="286">
        <v>6.187400000000004E-2</v>
      </c>
      <c r="AM262" s="286">
        <v>-8.4527083333333329E-3</v>
      </c>
      <c r="AN262" s="286">
        <v>-7.3644702380952377E-3</v>
      </c>
      <c r="AO262" s="286">
        <v>-7.6222559523809524E-3</v>
      </c>
      <c r="AP262" s="286">
        <v>-5.3934404761904762E-3</v>
      </c>
      <c r="AQ262" s="286">
        <v>-2.5740654761904768E-3</v>
      </c>
      <c r="AR262" s="286">
        <v>-1.8836249999999997E-3</v>
      </c>
      <c r="AS262" s="286">
        <v>-1.4967857142857122E-4</v>
      </c>
      <c r="AT262" s="286">
        <v>1.6960714285714287E-3</v>
      </c>
      <c r="AU262" s="286">
        <v>2.6183672619047617E-3</v>
      </c>
      <c r="AV262" s="282">
        <f t="shared" ca="1" si="13"/>
        <v>5.7525023809523804E-3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34.58</v>
      </c>
      <c r="G263" s="271">
        <v>35.04</v>
      </c>
      <c r="H263" s="271">
        <v>35.200000000000003</v>
      </c>
      <c r="I263" s="271">
        <v>35.26</v>
      </c>
      <c r="J263" s="271">
        <v>35.26</v>
      </c>
      <c r="K263" s="271">
        <v>35.369999999999997</v>
      </c>
      <c r="L263" s="271">
        <v>35.35</v>
      </c>
      <c r="M263" s="271">
        <v>35</v>
      </c>
      <c r="N263" s="271">
        <v>34.92</v>
      </c>
      <c r="O263" s="271">
        <v>34.61</v>
      </c>
      <c r="P263" s="271">
        <v>34.56</v>
      </c>
      <c r="Q263" s="271">
        <v>33.86</v>
      </c>
      <c r="R263" s="271">
        <v>33.85</v>
      </c>
      <c r="S263" s="271">
        <v>34.770000000000003</v>
      </c>
      <c r="T263" s="271">
        <v>34.909999999999997</v>
      </c>
      <c r="U263" s="271">
        <v>35.82</v>
      </c>
      <c r="V263" s="271">
        <v>35.71</v>
      </c>
      <c r="W263" s="271">
        <v>35.86</v>
      </c>
      <c r="X263" s="271">
        <v>35.75</v>
      </c>
      <c r="Y263" s="271">
        <v>35.93</v>
      </c>
      <c r="Z263" s="273">
        <f ca="1">[1]ExtEntry!$H63</f>
        <v>35.93</v>
      </c>
      <c r="AB263" s="282">
        <v>-7.2408899999999998E-2</v>
      </c>
      <c r="AC263" s="282">
        <v>-6.7400900000000014E-2</v>
      </c>
      <c r="AD263" s="282">
        <v>-7.5148900000000018E-2</v>
      </c>
      <c r="AE263" s="282">
        <v>-8.689189999999998E-2</v>
      </c>
      <c r="AF263" s="282">
        <v>-6.1288900000000014E-2</v>
      </c>
      <c r="AG263" s="282">
        <v>-4.7842900000000015E-2</v>
      </c>
      <c r="AH263" s="282">
        <v>-4.2711900000000004E-2</v>
      </c>
      <c r="AI263" s="282">
        <v>-5.2060900000000007E-2</v>
      </c>
      <c r="AJ263" s="282">
        <v>-4.6337900000000001E-2</v>
      </c>
      <c r="AK263" s="282">
        <v>-5.3566900000000008E-2</v>
      </c>
      <c r="AL263" s="282">
        <v>-3.2387900000000004E-2</v>
      </c>
      <c r="AM263" s="282">
        <v>-1.8060821428571429E-3</v>
      </c>
      <c r="AN263" s="282">
        <v>-2.3830285714285708E-3</v>
      </c>
      <c r="AO263" s="282">
        <v>-4.5523690476190421E-4</v>
      </c>
      <c r="AP263" s="282">
        <v>1.7393761904761912E-3</v>
      </c>
      <c r="AQ263" s="282">
        <v>4.9143583333333338E-3</v>
      </c>
      <c r="AR263" s="282">
        <v>4.3382809523809527E-3</v>
      </c>
      <c r="AS263" s="282">
        <v>5.4567452380952378E-3</v>
      </c>
      <c r="AT263" s="282">
        <v>3.5869297619047628E-3</v>
      </c>
      <c r="AU263" s="282">
        <v>5.6836071428571439E-3</v>
      </c>
      <c r="AV263" s="282">
        <f t="shared" ca="1" si="13"/>
        <v>6.3009226190476201E-3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239.65</v>
      </c>
      <c r="G264" s="271">
        <v>238.7</v>
      </c>
      <c r="H264" s="271">
        <v>236.45</v>
      </c>
      <c r="I264" s="271">
        <v>236.9</v>
      </c>
      <c r="J264" s="271">
        <v>236.9</v>
      </c>
      <c r="K264" s="271">
        <v>233.75</v>
      </c>
      <c r="L264" s="271">
        <v>233</v>
      </c>
      <c r="M264" s="271">
        <v>231.85</v>
      </c>
      <c r="N264" s="271">
        <v>236.4</v>
      </c>
      <c r="O264" s="271">
        <v>236.35</v>
      </c>
      <c r="P264" s="271">
        <v>233.45</v>
      </c>
      <c r="Q264" s="271">
        <v>227.8</v>
      </c>
      <c r="R264" s="271">
        <v>230.45</v>
      </c>
      <c r="S264" s="271">
        <v>234.4</v>
      </c>
      <c r="T264" s="271">
        <v>232.1</v>
      </c>
      <c r="U264" s="271">
        <v>230.45</v>
      </c>
      <c r="V264" s="271">
        <v>230.3</v>
      </c>
      <c r="W264" s="271">
        <v>223.7</v>
      </c>
      <c r="X264" s="271">
        <v>219.8</v>
      </c>
      <c r="Y264" s="271">
        <v>220.9</v>
      </c>
      <c r="Z264" s="273">
        <f ca="1">[1]ExtEntry!$H64</f>
        <v>220.9</v>
      </c>
      <c r="AB264" s="286">
        <v>-0.123664</v>
      </c>
      <c r="AC264" s="286">
        <v>-0.12104399999999998</v>
      </c>
      <c r="AD264" s="286">
        <v>-0.12109299999999999</v>
      </c>
      <c r="AE264" s="286">
        <v>-0.11092700000000001</v>
      </c>
      <c r="AF264" s="286">
        <v>-6.8830999999999989E-2</v>
      </c>
      <c r="AG264" s="286">
        <v>-9.0165000000000009E-2</v>
      </c>
      <c r="AH264" s="286">
        <v>-7.7394000000000004E-2</v>
      </c>
      <c r="AI264" s="286">
        <v>-7.7860000000000013E-2</v>
      </c>
      <c r="AJ264" s="286">
        <v>-5.4357000000000003E-2</v>
      </c>
      <c r="AK264" s="286">
        <v>-7.2882500000000003E-2</v>
      </c>
      <c r="AL264" s="286">
        <v>-5.6633499999999996E-2</v>
      </c>
      <c r="AM264" s="286">
        <v>9.4971130952380958E-4</v>
      </c>
      <c r="AN264" s="286">
        <v>7.3959821428571434E-4</v>
      </c>
      <c r="AO264" s="286">
        <v>3.5970267857142859E-3</v>
      </c>
      <c r="AP264" s="286">
        <v>3.3866875000000008E-3</v>
      </c>
      <c r="AQ264" s="286">
        <v>5.1743244047619055E-3</v>
      </c>
      <c r="AR264" s="286">
        <v>3.7998321428571432E-3</v>
      </c>
      <c r="AS264" s="286">
        <v>7.394958333333335E-4</v>
      </c>
      <c r="AT264" s="286">
        <v>-1.6964982142857136E-3</v>
      </c>
      <c r="AU264" s="286">
        <v>-1.3625875000000003E-3</v>
      </c>
      <c r="AV264" s="282">
        <f t="shared" ca="1" si="13"/>
        <v>-1.2986589285714284E-3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37.450000000000003</v>
      </c>
      <c r="G265" s="271">
        <v>38.200000000000003</v>
      </c>
      <c r="H265" s="271">
        <v>37.549999999999997</v>
      </c>
      <c r="I265" s="271">
        <v>37.549999999999997</v>
      </c>
      <c r="J265" s="271">
        <v>37.549999999999997</v>
      </c>
      <c r="K265" s="271">
        <v>37.65</v>
      </c>
      <c r="L265" s="271">
        <v>38.5</v>
      </c>
      <c r="M265" s="271">
        <v>37.5</v>
      </c>
      <c r="N265" s="271">
        <v>37.1</v>
      </c>
      <c r="O265" s="271">
        <v>37.700000000000003</v>
      </c>
      <c r="P265" s="271">
        <v>36.549999999999997</v>
      </c>
      <c r="Q265" s="271">
        <v>35.299999999999997</v>
      </c>
      <c r="R265" s="271">
        <v>35.799999999999997</v>
      </c>
      <c r="S265" s="271">
        <v>35.799999999999997</v>
      </c>
      <c r="T265" s="271">
        <v>36.6</v>
      </c>
      <c r="U265" s="271">
        <v>35.200000000000003</v>
      </c>
      <c r="V265" s="271">
        <v>35.6</v>
      </c>
      <c r="W265" s="271">
        <v>36.25</v>
      </c>
      <c r="X265" s="271">
        <v>35.35</v>
      </c>
      <c r="Y265" s="271">
        <v>36.25</v>
      </c>
      <c r="Z265" s="273">
        <f ca="1">[1]ExtEntry!$H65</f>
        <v>36.25</v>
      </c>
      <c r="AB265" s="282">
        <v>2.0215000000000007E-2</v>
      </c>
      <c r="AC265" s="282">
        <v>4.6882E-2</v>
      </c>
      <c r="AD265" s="282">
        <v>3.1202999999999991E-2</v>
      </c>
      <c r="AE265" s="282">
        <v>2.4588999999999993E-2</v>
      </c>
      <c r="AF265" s="282">
        <v>1.3932000000000002E-2</v>
      </c>
      <c r="AG265" s="282">
        <v>1.3910000000000009E-2</v>
      </c>
      <c r="AH265" s="282">
        <v>4.4632000000000005E-2</v>
      </c>
      <c r="AI265" s="282">
        <v>1.8658000000000004E-2</v>
      </c>
      <c r="AJ265" s="282">
        <v>1.0682999999999998E-2</v>
      </c>
      <c r="AK265" s="282">
        <v>6.0776999999999991E-2</v>
      </c>
      <c r="AL265" s="282">
        <v>4.6113000000000001E-2</v>
      </c>
      <c r="AM265" s="282">
        <v>-5.8363988095238087E-3</v>
      </c>
      <c r="AN265" s="282">
        <v>-3.1758630952380953E-3</v>
      </c>
      <c r="AO265" s="282">
        <v>-3.4269285714285704E-3</v>
      </c>
      <c r="AP265" s="282">
        <v>-5.9938273809523801E-3</v>
      </c>
      <c r="AQ265" s="282">
        <v>-3.6281011904761898E-3</v>
      </c>
      <c r="AR265" s="282">
        <v>-6.7236904761904708E-4</v>
      </c>
      <c r="AS265" s="282">
        <v>-2.2122678571428562E-3</v>
      </c>
      <c r="AT265" s="282">
        <v>-1.2710238095238096E-3</v>
      </c>
      <c r="AU265" s="282">
        <v>9.6557619047619031E-3</v>
      </c>
      <c r="AV265" s="282">
        <f t="shared" ca="1" si="13"/>
        <v>8.8201904761904745E-3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232.18</v>
      </c>
      <c r="G266" s="271">
        <v>231.24</v>
      </c>
      <c r="H266" s="271">
        <v>231.01</v>
      </c>
      <c r="I266" s="271">
        <v>230.12</v>
      </c>
      <c r="J266" s="271">
        <v>230.12</v>
      </c>
      <c r="K266" s="271">
        <v>226.01</v>
      </c>
      <c r="L266" s="271">
        <v>227.16</v>
      </c>
      <c r="M266" s="271">
        <v>229.31</v>
      </c>
      <c r="N266" s="271">
        <v>230.49</v>
      </c>
      <c r="O266" s="271">
        <v>231.3999</v>
      </c>
      <c r="P266" s="271">
        <v>232.14</v>
      </c>
      <c r="Q266" s="271">
        <v>227.57980000000001</v>
      </c>
      <c r="R266" s="271">
        <v>236.19540000000001</v>
      </c>
      <c r="S266" s="271">
        <v>238.47</v>
      </c>
      <c r="T266" s="271">
        <v>239.78</v>
      </c>
      <c r="U266" s="271">
        <v>237.88</v>
      </c>
      <c r="V266" s="271">
        <v>234.35</v>
      </c>
      <c r="W266" s="271">
        <v>226.79</v>
      </c>
      <c r="X266" s="271">
        <v>230.405</v>
      </c>
      <c r="Y266" s="271">
        <v>234.07</v>
      </c>
      <c r="Z266" s="273">
        <f ca="1">[1]ExtEntry!$H66</f>
        <v>234.07</v>
      </c>
      <c r="AB266" s="286">
        <v>8.9811200000000022E-2</v>
      </c>
      <c r="AC266" s="286">
        <v>8.0624200000000007E-2</v>
      </c>
      <c r="AD266" s="286">
        <v>6.6897200000000018E-2</v>
      </c>
      <c r="AE266" s="286">
        <v>5.7406200000000004E-2</v>
      </c>
      <c r="AF266" s="286">
        <v>5.5237200000000007E-2</v>
      </c>
      <c r="AG266" s="286">
        <v>3.6668199999999998E-2</v>
      </c>
      <c r="AH266" s="286">
        <v>3.5855200000000018E-2</v>
      </c>
      <c r="AI266" s="286">
        <v>4.4758800000000029E-2</v>
      </c>
      <c r="AJ266" s="286">
        <v>4.9110000000000015E-2</v>
      </c>
      <c r="AK266" s="286">
        <v>6.3566000000000011E-2</v>
      </c>
      <c r="AL266" s="286">
        <v>6.8839999999999985E-2</v>
      </c>
      <c r="AM266" s="286">
        <v>-7.0526130952380953E-3</v>
      </c>
      <c r="AN266" s="286">
        <v>-5.6451904761904755E-3</v>
      </c>
      <c r="AO266" s="286">
        <v>2.4793452380952354E-4</v>
      </c>
      <c r="AP266" s="286">
        <v>9.0152380952380779E-4</v>
      </c>
      <c r="AQ266" s="286">
        <v>1.5640952380952377E-3</v>
      </c>
      <c r="AR266" s="286">
        <v>1.1324940476190467E-3</v>
      </c>
      <c r="AS266" s="286">
        <v>1.3600000000000049E-4</v>
      </c>
      <c r="AT266" s="286">
        <v>1.198202380952381E-3</v>
      </c>
      <c r="AU266" s="286">
        <v>5.5304583333333325E-3</v>
      </c>
      <c r="AV266" s="282">
        <f t="shared" ca="1" si="13"/>
        <v>3.9424285714285707E-3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230.95320000000001</v>
      </c>
      <c r="G267" s="271">
        <v>231.58</v>
      </c>
      <c r="H267" s="271">
        <v>230.2</v>
      </c>
      <c r="I267" s="271">
        <v>227.5</v>
      </c>
      <c r="J267" s="271">
        <v>227.5</v>
      </c>
      <c r="K267" s="271">
        <v>223.81</v>
      </c>
      <c r="L267" s="271">
        <v>227.94</v>
      </c>
      <c r="M267" s="271">
        <v>228.71</v>
      </c>
      <c r="N267" s="271">
        <v>229.12</v>
      </c>
      <c r="O267" s="271">
        <v>232.5471</v>
      </c>
      <c r="P267" s="271">
        <v>229</v>
      </c>
      <c r="Q267" s="271">
        <v>222.37289999999999</v>
      </c>
      <c r="R267" s="271">
        <v>225.98</v>
      </c>
      <c r="S267" s="271">
        <v>225.99</v>
      </c>
      <c r="T267" s="271">
        <v>235.68</v>
      </c>
      <c r="U267" s="271">
        <v>235.84</v>
      </c>
      <c r="V267" s="271">
        <v>238.24</v>
      </c>
      <c r="W267" s="271">
        <v>230.33</v>
      </c>
      <c r="X267" s="271">
        <v>230.14500000000001</v>
      </c>
      <c r="Y267" s="271">
        <v>228.15</v>
      </c>
      <c r="Z267" s="273">
        <f ca="1">[1]ExtEntry!$H67</f>
        <v>228.15</v>
      </c>
      <c r="AB267" s="282">
        <v>-1.4600800000000014E-2</v>
      </c>
      <c r="AC267" s="282">
        <v>-1.3699799999999991E-2</v>
      </c>
      <c r="AD267" s="282">
        <v>-2.6269800000000003E-2</v>
      </c>
      <c r="AE267" s="282">
        <v>-5.7523800000000014E-2</v>
      </c>
      <c r="AF267" s="282">
        <v>-7.8364800000000012E-2</v>
      </c>
      <c r="AG267" s="282">
        <v>-0.10038980000000002</v>
      </c>
      <c r="AH267" s="282">
        <v>-0.12158180000000002</v>
      </c>
      <c r="AI267" s="282">
        <v>-0.1148018</v>
      </c>
      <c r="AJ267" s="282">
        <v>-0.11884180000000003</v>
      </c>
      <c r="AK267" s="282">
        <v>-0.10033380000000003</v>
      </c>
      <c r="AL267" s="282">
        <v>-0.1285888</v>
      </c>
      <c r="AM267" s="282">
        <v>-3.8541345238095243E-3</v>
      </c>
      <c r="AN267" s="282">
        <v>-5.4177773809523811E-3</v>
      </c>
      <c r="AO267" s="282">
        <v>-2.508414285714286E-3</v>
      </c>
      <c r="AP267" s="282">
        <v>1.773627380952381E-3</v>
      </c>
      <c r="AQ267" s="282">
        <v>4.4263059523809529E-3</v>
      </c>
      <c r="AR267" s="282">
        <v>4.7261333333333336E-3</v>
      </c>
      <c r="AS267" s="282">
        <v>1.1322857142857198E-4</v>
      </c>
      <c r="AT267" s="282">
        <v>1.1570880952380957E-3</v>
      </c>
      <c r="AU267" s="282">
        <v>4.2053059523809539E-3</v>
      </c>
      <c r="AV267" s="282">
        <f t="shared" ref="AV267:AV295" ca="1" si="15">AVERAGE(S762:Z762)-AVERAGE(F762:Z762)</f>
        <v>3.8713297619047621E-3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642.9</v>
      </c>
      <c r="G268" s="271">
        <v>636.9</v>
      </c>
      <c r="H268" s="271">
        <v>635.6</v>
      </c>
      <c r="I268" s="271">
        <v>642.29999999999995</v>
      </c>
      <c r="J268" s="271">
        <v>642.29999999999995</v>
      </c>
      <c r="K268" s="271">
        <v>638.20000000000005</v>
      </c>
      <c r="L268" s="271">
        <v>646.70000000000005</v>
      </c>
      <c r="M268" s="271">
        <v>650.6</v>
      </c>
      <c r="N268" s="271">
        <v>660.2</v>
      </c>
      <c r="O268" s="271">
        <v>654.5</v>
      </c>
      <c r="P268" s="271">
        <v>635.79999999999995</v>
      </c>
      <c r="Q268" s="271">
        <v>617</v>
      </c>
      <c r="R268" s="271">
        <v>630.1</v>
      </c>
      <c r="S268" s="271">
        <v>633.4</v>
      </c>
      <c r="T268" s="271">
        <v>662.5</v>
      </c>
      <c r="U268" s="271">
        <v>676.6</v>
      </c>
      <c r="V268" s="271">
        <v>683.2</v>
      </c>
      <c r="W268" s="271">
        <v>680.2</v>
      </c>
      <c r="X268" s="271">
        <v>686</v>
      </c>
      <c r="Y268" s="271">
        <v>689.8</v>
      </c>
      <c r="Z268" s="273">
        <f ca="1">[1]ExtEntry!$H68</f>
        <v>689.8</v>
      </c>
      <c r="AB268" s="286">
        <v>1.0170000000000235E-3</v>
      </c>
      <c r="AC268" s="286">
        <v>1.6445999999999999E-2</v>
      </c>
      <c r="AD268" s="286">
        <v>2.9556000000000006E-2</v>
      </c>
      <c r="AE268" s="286">
        <v>6.0669000000000001E-2</v>
      </c>
      <c r="AF268" s="286">
        <v>5.9333000000000018E-2</v>
      </c>
      <c r="AG268" s="286">
        <v>3.7124000000000011E-2</v>
      </c>
      <c r="AH268" s="286">
        <v>2.2566800000000005E-2</v>
      </c>
      <c r="AI268" s="286">
        <v>4.6457800000000014E-2</v>
      </c>
      <c r="AJ268" s="286">
        <v>1.9774800000000002E-2</v>
      </c>
      <c r="AK268" s="286">
        <v>3.9177999999999973E-3</v>
      </c>
      <c r="AL268" s="286">
        <v>2.5608800000000004E-2</v>
      </c>
      <c r="AM268" s="286">
        <v>-3.5834440476190475E-3</v>
      </c>
      <c r="AN268" s="286">
        <v>-4.076414285714286E-3</v>
      </c>
      <c r="AO268" s="286">
        <v>-1.6439083333333339E-3</v>
      </c>
      <c r="AP268" s="286">
        <v>-3.7920476190476254E-4</v>
      </c>
      <c r="AQ268" s="286">
        <v>4.5418809523809466E-4</v>
      </c>
      <c r="AR268" s="286">
        <v>7.9415833333333369E-4</v>
      </c>
      <c r="AS268" s="286">
        <v>2.0170571428571437E-3</v>
      </c>
      <c r="AT268" s="286">
        <v>3.6136285714285718E-3</v>
      </c>
      <c r="AU268" s="286">
        <v>8.3196642857142847E-3</v>
      </c>
      <c r="AV268" s="282">
        <f t="shared" ca="1" si="15"/>
        <v>6.6389380952380974E-3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2.06</v>
      </c>
      <c r="G269" s="271">
        <v>2.0901000000000001</v>
      </c>
      <c r="H269" s="271">
        <v>2.0099999999999998</v>
      </c>
      <c r="I269" s="271">
        <v>1.9850000000000001</v>
      </c>
      <c r="J269" s="271">
        <v>1.9850000000000001</v>
      </c>
      <c r="K269" s="271">
        <v>1.97</v>
      </c>
      <c r="L269" s="271">
        <v>2.1749999999999998</v>
      </c>
      <c r="M269" s="271">
        <v>2.145</v>
      </c>
      <c r="N269" s="271">
        <v>2.5649999999999999</v>
      </c>
      <c r="O269" s="271">
        <v>2.4241999999999999</v>
      </c>
      <c r="P269" s="271">
        <v>2.2999999999999998</v>
      </c>
      <c r="Q269" s="271">
        <v>2.2050000000000001</v>
      </c>
      <c r="R269" s="271">
        <v>2.1202999999999999</v>
      </c>
      <c r="S269" s="271">
        <v>2.0499999999999998</v>
      </c>
      <c r="T269" s="271">
        <v>2.0499999999999998</v>
      </c>
      <c r="U269" s="271">
        <v>2.17</v>
      </c>
      <c r="V269" s="271">
        <v>2.1</v>
      </c>
      <c r="W269" s="271">
        <v>2.12</v>
      </c>
      <c r="X269" s="271">
        <v>2.25</v>
      </c>
      <c r="Y269" s="271">
        <v>2.2250000000000001</v>
      </c>
      <c r="Z269" s="273">
        <f ca="1">[1]ExtEntry!$H69</f>
        <v>2.2250000000000001</v>
      </c>
      <c r="AB269" s="282">
        <v>0.16109699999999999</v>
      </c>
      <c r="AC269" s="282">
        <v>0.14370284999999997</v>
      </c>
      <c r="AD269" s="282">
        <v>9.2940849999999964E-2</v>
      </c>
      <c r="AE269" s="282">
        <v>8.6108499999999477E-3</v>
      </c>
      <c r="AF269" s="282">
        <v>-4.1628150000000058E-2</v>
      </c>
      <c r="AG269" s="282">
        <v>-4.1628150000000058E-2</v>
      </c>
      <c r="AH269" s="282">
        <v>1.7523849999999987E-2</v>
      </c>
      <c r="AI269" s="282">
        <v>4.6681849999999928E-2</v>
      </c>
      <c r="AJ269" s="282">
        <v>0.25359384999999995</v>
      </c>
      <c r="AK269" s="282">
        <v>0.2064988499999999</v>
      </c>
      <c r="AL269" s="282">
        <v>0.18480784999999994</v>
      </c>
      <c r="AM269" s="282">
        <v>-5.0498678571428554E-3</v>
      </c>
      <c r="AN269" s="282">
        <v>-1.7654988095238073E-3</v>
      </c>
      <c r="AO269" s="282">
        <v>-5.6359095238095215E-3</v>
      </c>
      <c r="AP269" s="282">
        <v>-7.5027785714285675E-3</v>
      </c>
      <c r="AQ269" s="282">
        <v>-5.1760642857142831E-3</v>
      </c>
      <c r="AR269" s="282">
        <v>-3.0250379761904759E-2</v>
      </c>
      <c r="AS269" s="282">
        <v>-2.1394433333333334E-2</v>
      </c>
      <c r="AT269" s="282">
        <v>-1.1746552380952378E-2</v>
      </c>
      <c r="AU269" s="282">
        <v>6.761191666666666E-3</v>
      </c>
      <c r="AV269" s="282">
        <f t="shared" ca="1" si="15"/>
        <v>7.549251190476192E-3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116.205</v>
      </c>
      <c r="G270" s="271">
        <v>116.375</v>
      </c>
      <c r="H270" s="271">
        <v>116.345</v>
      </c>
      <c r="I270" s="271">
        <v>116.145</v>
      </c>
      <c r="J270" s="271">
        <v>116.145</v>
      </c>
      <c r="K270" s="271">
        <v>117.06</v>
      </c>
      <c r="L270" s="271">
        <v>117.74</v>
      </c>
      <c r="M270" s="271">
        <v>117.65</v>
      </c>
      <c r="N270" s="271">
        <v>118.07</v>
      </c>
      <c r="O270" s="271">
        <v>117.08</v>
      </c>
      <c r="P270" s="271">
        <v>118.38</v>
      </c>
      <c r="Q270" s="271">
        <v>116.79</v>
      </c>
      <c r="R270" s="271">
        <v>116.64</v>
      </c>
      <c r="S270" s="271">
        <v>117.38</v>
      </c>
      <c r="T270" s="271">
        <v>118.81</v>
      </c>
      <c r="U270" s="271">
        <v>118.84</v>
      </c>
      <c r="V270" s="271">
        <v>117.36</v>
      </c>
      <c r="W270" s="271">
        <v>115.82</v>
      </c>
      <c r="X270" s="271">
        <v>117.145</v>
      </c>
      <c r="Y270" s="271">
        <v>115.97</v>
      </c>
      <c r="Z270" s="273">
        <f ca="1">[1]ExtEntry!$H70</f>
        <v>115.97</v>
      </c>
      <c r="AB270" s="286">
        <v>-6.9537999999999989E-2</v>
      </c>
      <c r="AC270" s="286">
        <v>-5.9733100000000004E-2</v>
      </c>
      <c r="AD270" s="286">
        <v>-5.4587099999999993E-2</v>
      </c>
      <c r="AE270" s="286">
        <v>-5.3285099999999995E-2</v>
      </c>
      <c r="AF270" s="286">
        <v>-7.2289099999999995E-2</v>
      </c>
      <c r="AG270" s="286">
        <v>-8.1023099999999987E-2</v>
      </c>
      <c r="AH270" s="286">
        <v>-8.2556100000000007E-2</v>
      </c>
      <c r="AI270" s="286">
        <v>-7.937580000000001E-2</v>
      </c>
      <c r="AJ270" s="286">
        <v>-6.6667799999999985E-2</v>
      </c>
      <c r="AK270" s="286">
        <v>-7.2718799999999986E-2</v>
      </c>
      <c r="AL270" s="286">
        <v>-6.2747799999999992E-2</v>
      </c>
      <c r="AM270" s="286">
        <v>2.0356964285714275E-4</v>
      </c>
      <c r="AN270" s="286">
        <v>-1.4359958333333336E-3</v>
      </c>
      <c r="AO270" s="286">
        <v>-2.0671386904761902E-3</v>
      </c>
      <c r="AP270" s="286">
        <v>-2.9762678571428535E-4</v>
      </c>
      <c r="AQ270" s="286">
        <v>-8.9137261904761848E-4</v>
      </c>
      <c r="AR270" s="286">
        <v>-3.4673250000000007E-3</v>
      </c>
      <c r="AS270" s="286">
        <v>-3.6057119047619057E-3</v>
      </c>
      <c r="AT270" s="286">
        <v>-3.4229261904761914E-3</v>
      </c>
      <c r="AU270" s="286">
        <v>-1.9742238095238097E-3</v>
      </c>
      <c r="AV270" s="282">
        <f t="shared" ca="1" si="15"/>
        <v>-1.0578928571428536E-4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55.76</v>
      </c>
      <c r="G271" s="271">
        <v>56.53</v>
      </c>
      <c r="H271" s="271">
        <v>56.3523</v>
      </c>
      <c r="I271" s="271">
        <v>56.96</v>
      </c>
      <c r="J271" s="271">
        <v>56.96</v>
      </c>
      <c r="K271" s="271">
        <v>56.8</v>
      </c>
      <c r="L271" s="271">
        <v>58.274999999999999</v>
      </c>
      <c r="M271" s="271">
        <v>58.8</v>
      </c>
      <c r="N271" s="271">
        <v>58.74</v>
      </c>
      <c r="O271" s="271">
        <v>58</v>
      </c>
      <c r="P271" s="271">
        <v>58.59</v>
      </c>
      <c r="Q271" s="271">
        <v>58.08</v>
      </c>
      <c r="R271" s="271">
        <v>58.27</v>
      </c>
      <c r="S271" s="271">
        <v>57.75</v>
      </c>
      <c r="T271" s="271">
        <v>58.15</v>
      </c>
      <c r="U271" s="271">
        <v>58.24</v>
      </c>
      <c r="V271" s="271">
        <v>58.02</v>
      </c>
      <c r="W271" s="271">
        <v>57.344999999999999</v>
      </c>
      <c r="X271" s="271">
        <v>58.69</v>
      </c>
      <c r="Y271" s="271">
        <v>58.505000000000003</v>
      </c>
      <c r="Z271" s="273">
        <f ca="1">[1]ExtEntry!$H71</f>
        <v>58.505000000000003</v>
      </c>
      <c r="AB271" s="282">
        <v>0.23531839999999996</v>
      </c>
      <c r="AC271" s="282">
        <v>0.24008739999999998</v>
      </c>
      <c r="AD271" s="282">
        <v>0.22533659999999997</v>
      </c>
      <c r="AE271" s="282">
        <v>0.23850649999999998</v>
      </c>
      <c r="AF271" s="282">
        <v>0.16476350000000001</v>
      </c>
      <c r="AG271" s="282">
        <v>7.3481500000000005E-2</v>
      </c>
      <c r="AH271" s="282">
        <v>8.6534499999999973E-2</v>
      </c>
      <c r="AI271" s="282">
        <v>7.5204500000000007E-2</v>
      </c>
      <c r="AJ271" s="282">
        <v>7.3248199999999999E-2</v>
      </c>
      <c r="AK271" s="282">
        <v>6.04822E-2</v>
      </c>
      <c r="AL271" s="282">
        <v>3.8588200000000003E-2</v>
      </c>
      <c r="AM271" s="282">
        <v>-2.9708071428571434E-3</v>
      </c>
      <c r="AN271" s="282">
        <v>-5.66042619047619E-3</v>
      </c>
      <c r="AO271" s="282">
        <v>-6.0404083333333329E-3</v>
      </c>
      <c r="AP271" s="282">
        <v>-5.4679202380952382E-3</v>
      </c>
      <c r="AQ271" s="282">
        <v>-6.7135773809523808E-3</v>
      </c>
      <c r="AR271" s="282">
        <v>-6.5077976190476196E-3</v>
      </c>
      <c r="AS271" s="282">
        <v>-5.3126190476190478E-3</v>
      </c>
      <c r="AT271" s="282">
        <v>-3.2419404761904773E-3</v>
      </c>
      <c r="AU271" s="282">
        <v>-2.2961726190476196E-3</v>
      </c>
      <c r="AV271" s="282">
        <f t="shared" ca="1" si="15"/>
        <v>-8.2856547619047601E-4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</v>
      </c>
      <c r="G272" s="271">
        <v>386</v>
      </c>
      <c r="H272" s="271">
        <v>388.9</v>
      </c>
      <c r="I272" s="271">
        <v>393.9</v>
      </c>
      <c r="J272" s="271">
        <v>393.9</v>
      </c>
      <c r="K272" s="271">
        <v>387.8</v>
      </c>
      <c r="L272" s="271">
        <v>394.6</v>
      </c>
      <c r="M272" s="271">
        <v>392.6</v>
      </c>
      <c r="N272" s="271">
        <v>384.6</v>
      </c>
      <c r="O272" s="271">
        <v>389.5</v>
      </c>
      <c r="P272" s="271">
        <v>389.8</v>
      </c>
      <c r="Q272" s="271">
        <v>378</v>
      </c>
      <c r="R272" s="271">
        <v>390.88400000000001</v>
      </c>
      <c r="S272" s="271">
        <v>390.7</v>
      </c>
      <c r="T272" s="271">
        <v>390.8</v>
      </c>
      <c r="U272" s="271">
        <v>394.2</v>
      </c>
      <c r="V272" s="271">
        <v>397.9</v>
      </c>
      <c r="W272" s="271">
        <v>381.7</v>
      </c>
      <c r="X272" s="271">
        <v>382.3</v>
      </c>
      <c r="Y272" s="271">
        <v>382</v>
      </c>
      <c r="Z272" s="273">
        <f ca="1">[1]ExtEntry!$H72</f>
        <v>382</v>
      </c>
      <c r="AB272" s="286">
        <v>5.6552000000000043E-3</v>
      </c>
      <c r="AC272" s="286">
        <v>2.1280200000000003E-2</v>
      </c>
      <c r="AD272" s="286">
        <v>2.6470200000000006E-2</v>
      </c>
      <c r="AE272" s="286">
        <v>4.515920000000001E-2</v>
      </c>
      <c r="AF272" s="286">
        <v>3.7890200000000006E-2</v>
      </c>
      <c r="AG272" s="286">
        <v>1.8160200000000008E-2</v>
      </c>
      <c r="AH272" s="286">
        <v>3.8052200000000008E-2</v>
      </c>
      <c r="AI272" s="286">
        <v>4.3828200000000012E-2</v>
      </c>
      <c r="AJ272" s="286">
        <v>3.6018200000000007E-2</v>
      </c>
      <c r="AK272" s="286">
        <v>4.2521200000000002E-2</v>
      </c>
      <c r="AL272" s="286">
        <v>3.7067200000000008E-2</v>
      </c>
      <c r="AM272" s="286">
        <v>-2.5364738095238091E-3</v>
      </c>
      <c r="AN272" s="286">
        <v>-2.5383011904761906E-3</v>
      </c>
      <c r="AO272" s="286">
        <v>-2.6730654761904747E-4</v>
      </c>
      <c r="AP272" s="286">
        <v>-2.429467261904762E-3</v>
      </c>
      <c r="AQ272" s="286">
        <v>-1.9769791666666668E-3</v>
      </c>
      <c r="AR272" s="286">
        <v>1.1692053571428565E-3</v>
      </c>
      <c r="AS272" s="286">
        <v>-3.5228601190476199E-3</v>
      </c>
      <c r="AT272" s="286">
        <v>-5.8947315476190493E-3</v>
      </c>
      <c r="AU272" s="286">
        <v>4.506547619047616E-4</v>
      </c>
      <c r="AV272" s="282">
        <f t="shared" ca="1" si="15"/>
        <v>-3.0314291666666657E-3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26.619900000000001</v>
      </c>
      <c r="G273" s="271">
        <v>27.82</v>
      </c>
      <c r="H273" s="271">
        <v>28.035</v>
      </c>
      <c r="I273" s="271">
        <v>27.934999999999999</v>
      </c>
      <c r="J273" s="271">
        <v>27.934999999999999</v>
      </c>
      <c r="K273" s="271">
        <v>26.89</v>
      </c>
      <c r="L273" s="271">
        <v>25.35</v>
      </c>
      <c r="M273" s="271">
        <v>24.73</v>
      </c>
      <c r="N273" s="271">
        <v>25.1</v>
      </c>
      <c r="O273" s="271">
        <v>24.445</v>
      </c>
      <c r="P273" s="271">
        <v>24.09</v>
      </c>
      <c r="Q273" s="271">
        <v>23.48</v>
      </c>
      <c r="R273" s="271">
        <v>24.28</v>
      </c>
      <c r="S273" s="271">
        <v>24.05</v>
      </c>
      <c r="T273" s="271">
        <v>24.28</v>
      </c>
      <c r="U273" s="271">
        <v>24.83</v>
      </c>
      <c r="V273" s="271">
        <v>24.47</v>
      </c>
      <c r="W273" s="271">
        <v>24.31</v>
      </c>
      <c r="X273" s="271">
        <v>25.38</v>
      </c>
      <c r="Y273" s="271">
        <v>23.51</v>
      </c>
      <c r="Z273" s="273">
        <f ca="1">[1]ExtEntry!$H73</f>
        <v>23.51</v>
      </c>
      <c r="AB273" s="282">
        <v>-0.19064599999999998</v>
      </c>
      <c r="AC273" s="282">
        <v>-0.13338899999999998</v>
      </c>
      <c r="AD273" s="282">
        <v>-0.13045470000000001</v>
      </c>
      <c r="AE273" s="282">
        <v>-0.12669570000000002</v>
      </c>
      <c r="AF273" s="282">
        <v>-0.19148669999999998</v>
      </c>
      <c r="AG273" s="282">
        <v>-0.2873057</v>
      </c>
      <c r="AH273" s="282">
        <v>-0.33353369999999999</v>
      </c>
      <c r="AI273" s="282">
        <v>-0.36210769999999998</v>
      </c>
      <c r="AJ273" s="282">
        <v>-0.34011770000000002</v>
      </c>
      <c r="AK273" s="282">
        <v>-0.35059869999999999</v>
      </c>
      <c r="AL273" s="282">
        <v>-0.28556769999999998</v>
      </c>
      <c r="AM273" s="282">
        <v>-1.1550180952380954E-2</v>
      </c>
      <c r="AN273" s="282">
        <v>-1.3721877380952379E-2</v>
      </c>
      <c r="AO273" s="282">
        <v>-8.4285083333333309E-3</v>
      </c>
      <c r="AP273" s="282">
        <v>1.7670595238095457E-4</v>
      </c>
      <c r="AQ273" s="282">
        <v>9.6229523809523727E-4</v>
      </c>
      <c r="AR273" s="282">
        <v>-2.6628059523809491E-3</v>
      </c>
      <c r="AS273" s="282">
        <v>-7.2103809523809369E-4</v>
      </c>
      <c r="AT273" s="282">
        <v>3.4410095238095236E-3</v>
      </c>
      <c r="AU273" s="282">
        <v>1.2318250000000006E-3</v>
      </c>
      <c r="AV273" s="282">
        <f t="shared" ca="1" si="15"/>
        <v>-3.0700678571428559E-3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0.91510000000000002</v>
      </c>
      <c r="G274" s="271">
        <v>0.95830000000000004</v>
      </c>
      <c r="H274" s="271">
        <v>1.0201</v>
      </c>
      <c r="I274" s="271">
        <v>0.93020000000000003</v>
      </c>
      <c r="J274" s="271">
        <v>0.93020000000000003</v>
      </c>
      <c r="K274" s="271">
        <v>0.91820000000000002</v>
      </c>
      <c r="L274" s="271">
        <v>1</v>
      </c>
      <c r="M274" s="271">
        <v>1.01</v>
      </c>
      <c r="N274" s="271">
        <v>1.04</v>
      </c>
      <c r="O274" s="271">
        <v>1.0549999999999999</v>
      </c>
      <c r="P274" s="271">
        <v>1.18</v>
      </c>
      <c r="Q274" s="271">
        <v>1.115</v>
      </c>
      <c r="R274" s="271">
        <v>1.135</v>
      </c>
      <c r="S274" s="271">
        <v>1.0900000000000001</v>
      </c>
      <c r="T274" s="271">
        <v>1.02</v>
      </c>
      <c r="U274" s="271">
        <v>1.1000000000000001</v>
      </c>
      <c r="V274" s="271">
        <v>1.1399999999999999</v>
      </c>
      <c r="W274" s="271">
        <v>1.1299999999999999</v>
      </c>
      <c r="X274" s="271">
        <v>1.2450000000000001</v>
      </c>
      <c r="Y274" s="271">
        <v>1.34</v>
      </c>
      <c r="Z274" s="273">
        <f ca="1">[1]ExtEntry!$H74</f>
        <v>1.34</v>
      </c>
      <c r="AB274" s="286">
        <v>6.1840000000000006E-2</v>
      </c>
      <c r="AC274" s="286">
        <v>3.4445000000000017E-2</v>
      </c>
      <c r="AD274" s="286">
        <v>4.2303999999999981E-2</v>
      </c>
      <c r="AE274" s="286">
        <v>-0.13077899999999998</v>
      </c>
      <c r="AF274" s="286">
        <v>-0.27939599999999998</v>
      </c>
      <c r="AG274" s="286">
        <v>-0.34391400000000005</v>
      </c>
      <c r="AH274" s="286">
        <v>-0.26380599999999998</v>
      </c>
      <c r="AI274" s="286">
        <v>-0.21932299999999999</v>
      </c>
      <c r="AJ274" s="286">
        <v>-0.13604899999999992</v>
      </c>
      <c r="AK274" s="286">
        <v>-0.127771</v>
      </c>
      <c r="AL274" s="286">
        <v>-0.13522499999999996</v>
      </c>
      <c r="AM274" s="286">
        <v>-6.0085059523809527E-3</v>
      </c>
      <c r="AN274" s="286">
        <v>7.4645119047619035E-3</v>
      </c>
      <c r="AO274" s="286">
        <v>9.176577380952379E-3</v>
      </c>
      <c r="AP274" s="286">
        <v>5.8505952380950507E-5</v>
      </c>
      <c r="AQ274" s="286">
        <v>2.7624761904761898E-3</v>
      </c>
      <c r="AR274" s="286">
        <v>1.2318154761904751E-3</v>
      </c>
      <c r="AS274" s="286">
        <v>-3.1303690476190489E-3</v>
      </c>
      <c r="AT274" s="286">
        <v>1.025235119047619E-2</v>
      </c>
      <c r="AU274" s="286">
        <v>2.384292857142857E-2</v>
      </c>
      <c r="AV274" s="282">
        <f t="shared" ca="1" si="15"/>
        <v>2.6439821428571431E-2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14.972</v>
      </c>
      <c r="G275" s="271">
        <v>14.972</v>
      </c>
      <c r="H275" s="271">
        <v>14.93</v>
      </c>
      <c r="I275" s="271">
        <v>15.002000000000001</v>
      </c>
      <c r="J275" s="271">
        <v>15.002000000000001</v>
      </c>
      <c r="K275" s="271">
        <v>15.086</v>
      </c>
      <c r="L275" s="271">
        <v>15.246</v>
      </c>
      <c r="M275" s="271">
        <v>15.19</v>
      </c>
      <c r="N275" s="271">
        <v>15.224</v>
      </c>
      <c r="O275" s="271">
        <v>15.172000000000001</v>
      </c>
      <c r="P275" s="271">
        <v>15.342000000000001</v>
      </c>
      <c r="Q275" s="271">
        <v>15.124000000000001</v>
      </c>
      <c r="R275" s="271">
        <v>14.92</v>
      </c>
      <c r="S275" s="271">
        <v>14.917999999999999</v>
      </c>
      <c r="T275" s="271">
        <v>14.882</v>
      </c>
      <c r="U275" s="271">
        <v>14.688000000000001</v>
      </c>
      <c r="V275" s="271">
        <v>14.944000000000001</v>
      </c>
      <c r="W275" s="271">
        <v>14.958</v>
      </c>
      <c r="X275" s="271">
        <v>14.922000000000001</v>
      </c>
      <c r="Y275" s="271">
        <v>14.882</v>
      </c>
      <c r="Z275" s="273">
        <f ca="1">[1]ExtEntry!$H75</f>
        <v>14.882</v>
      </c>
      <c r="AB275" s="282">
        <v>5.0230200000000003E-2</v>
      </c>
      <c r="AC275" s="282">
        <v>4.502119999999999E-2</v>
      </c>
      <c r="AD275" s="282">
        <v>4.2639799999999985E-2</v>
      </c>
      <c r="AE275" s="282">
        <v>4.8371799999999993E-2</v>
      </c>
      <c r="AF275" s="282">
        <v>4.2667799999999985E-2</v>
      </c>
      <c r="AG275" s="282">
        <v>4.4070799999999986E-2</v>
      </c>
      <c r="AH275" s="282">
        <v>3.8259799999999997E-2</v>
      </c>
      <c r="AI275" s="282">
        <v>1.6392799999999999E-2</v>
      </c>
      <c r="AJ275" s="282">
        <v>1.2901799999999998E-2</v>
      </c>
      <c r="AK275" s="282">
        <v>3.5417999999999947E-3</v>
      </c>
      <c r="AL275" s="282">
        <v>9.0287999999999966E-3</v>
      </c>
      <c r="AM275" s="282">
        <v>-5.6768690476190469E-4</v>
      </c>
      <c r="AN275" s="282">
        <v>-2.9251035714285712E-3</v>
      </c>
      <c r="AO275" s="282">
        <v>-3.391294047619048E-3</v>
      </c>
      <c r="AP275" s="282">
        <v>-3.5307404761904765E-3</v>
      </c>
      <c r="AQ275" s="282">
        <v>-2.2656452380952381E-3</v>
      </c>
      <c r="AR275" s="282">
        <v>-1.4780559523809521E-3</v>
      </c>
      <c r="AS275" s="282">
        <v>-9.9786071428571428E-4</v>
      </c>
      <c r="AT275" s="282">
        <v>-2.0879083333333335E-3</v>
      </c>
      <c r="AU275" s="282">
        <v>-2.4167023809523806E-4</v>
      </c>
      <c r="AV275" s="282">
        <f t="shared" ca="1" si="15"/>
        <v>1.6098059523809527E-3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511.4</v>
      </c>
      <c r="G276" s="271">
        <v>516.19500000000005</v>
      </c>
      <c r="H276" s="271">
        <v>510.6</v>
      </c>
      <c r="I276" s="271">
        <v>518.6</v>
      </c>
      <c r="J276" s="271">
        <v>518.6</v>
      </c>
      <c r="K276" s="271">
        <v>508.4</v>
      </c>
      <c r="L276" s="271">
        <v>510.6</v>
      </c>
      <c r="M276" s="271">
        <v>506</v>
      </c>
      <c r="N276" s="271">
        <v>490.2</v>
      </c>
      <c r="O276" s="271">
        <v>494.2</v>
      </c>
      <c r="P276" s="271">
        <v>491.1</v>
      </c>
      <c r="Q276" s="271">
        <v>478.15499999999997</v>
      </c>
      <c r="R276" s="271">
        <v>489.6</v>
      </c>
      <c r="S276" s="271">
        <v>471.0634</v>
      </c>
      <c r="T276" s="271">
        <v>468.7</v>
      </c>
      <c r="U276" s="271">
        <v>468.8</v>
      </c>
      <c r="V276" s="271">
        <v>471.4</v>
      </c>
      <c r="W276" s="271">
        <v>461.1</v>
      </c>
      <c r="X276" s="271">
        <v>465.6</v>
      </c>
      <c r="Y276" s="271">
        <v>469.3</v>
      </c>
      <c r="Z276" s="273">
        <f ca="1">[1]ExtEntry!$H76</f>
        <v>469.3</v>
      </c>
      <c r="AB276" s="286">
        <v>2.4877999999999997E-2</v>
      </c>
      <c r="AC276" s="286">
        <v>3.4653999999999997E-2</v>
      </c>
      <c r="AD276" s="286">
        <v>1.1169999999999999E-2</v>
      </c>
      <c r="AE276" s="286">
        <v>4.3208000000000003E-2</v>
      </c>
      <c r="AF276" s="286">
        <v>4.9789E-2</v>
      </c>
      <c r="AG276" s="286">
        <v>2.3056999999999998E-2</v>
      </c>
      <c r="AH276" s="286">
        <v>3.4936999999999996E-2</v>
      </c>
      <c r="AI276" s="286">
        <v>2.8742999999999994E-2</v>
      </c>
      <c r="AJ276" s="286">
        <v>5.7859999999999891E-3</v>
      </c>
      <c r="AK276" s="286">
        <v>2.2965999999999986E-2</v>
      </c>
      <c r="AL276" s="286">
        <v>4.7229999999999989E-3</v>
      </c>
      <c r="AM276" s="286">
        <v>-5.4503630952380958E-3</v>
      </c>
      <c r="AN276" s="286">
        <v>-6.1935119047619031E-3</v>
      </c>
      <c r="AO276" s="286">
        <v>-5.7932202380952371E-3</v>
      </c>
      <c r="AP276" s="286">
        <v>-6.9740654761904749E-3</v>
      </c>
      <c r="AQ276" s="286">
        <v>-5.9450654761904762E-3</v>
      </c>
      <c r="AR276" s="286">
        <v>-7.0630952380952453E-4</v>
      </c>
      <c r="AS276" s="286">
        <v>-3.0007023809523812E-3</v>
      </c>
      <c r="AT276" s="286">
        <v>-3.1538749999999996E-3</v>
      </c>
      <c r="AU276" s="286">
        <v>7.5760714285714255E-4</v>
      </c>
      <c r="AV276" s="282">
        <f t="shared" ca="1" si="15"/>
        <v>-1.9587619047619046E-3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11.3</v>
      </c>
      <c r="G277" s="271">
        <v>11.445</v>
      </c>
      <c r="H277" s="271">
        <v>11.445</v>
      </c>
      <c r="I277" s="271">
        <v>11.574400000000001</v>
      </c>
      <c r="J277" s="271">
        <v>11.574400000000001</v>
      </c>
      <c r="K277" s="271">
        <v>11.49</v>
      </c>
      <c r="L277" s="271">
        <v>11.785</v>
      </c>
      <c r="M277" s="271">
        <v>11.835000000000001</v>
      </c>
      <c r="N277" s="271">
        <v>11.911</v>
      </c>
      <c r="O277" s="271">
        <v>11.675000000000001</v>
      </c>
      <c r="P277" s="271">
        <v>11.77</v>
      </c>
      <c r="Q277" s="271">
        <v>11.71</v>
      </c>
      <c r="R277" s="271">
        <v>11.629899999999999</v>
      </c>
      <c r="S277" s="271">
        <v>11.62</v>
      </c>
      <c r="T277" s="271">
        <v>11.68</v>
      </c>
      <c r="U277" s="271">
        <v>11.675000000000001</v>
      </c>
      <c r="V277" s="271">
        <v>11.5</v>
      </c>
      <c r="W277" s="271">
        <v>11.43</v>
      </c>
      <c r="X277" s="271">
        <v>11.755000000000001</v>
      </c>
      <c r="Y277" s="271">
        <v>11.68</v>
      </c>
      <c r="Z277" s="273">
        <f ca="1">[1]ExtEntry!$H77</f>
        <v>11.68</v>
      </c>
      <c r="AB277" s="282">
        <v>5.6634000000000018E-2</v>
      </c>
      <c r="AC277" s="282">
        <v>6.1125100000000009E-2</v>
      </c>
      <c r="AD277" s="282">
        <v>4.0505200000000012E-2</v>
      </c>
      <c r="AE277" s="282">
        <v>3.7047199999999995E-2</v>
      </c>
      <c r="AF277" s="282">
        <v>3.00512E-2</v>
      </c>
      <c r="AG277" s="282">
        <v>5.3002000000000023E-3</v>
      </c>
      <c r="AH277" s="282">
        <v>1.9238199999999994E-2</v>
      </c>
      <c r="AI277" s="282">
        <v>2.3011999999999876E-3</v>
      </c>
      <c r="AJ277" s="282">
        <v>2.5735199999999993E-2</v>
      </c>
      <c r="AK277" s="282">
        <v>2.13472E-2</v>
      </c>
      <c r="AL277" s="282">
        <v>7.1521999999999974E-3</v>
      </c>
      <c r="AM277" s="282">
        <v>-2.0801464285714289E-3</v>
      </c>
      <c r="AN277" s="282">
        <v>-4.9983547619047632E-3</v>
      </c>
      <c r="AO277" s="282">
        <v>-4.4230214285714293E-3</v>
      </c>
      <c r="AP277" s="282">
        <v>-3.9589321428571429E-3</v>
      </c>
      <c r="AQ277" s="282">
        <v>-3.8355869047619054E-3</v>
      </c>
      <c r="AR277" s="282">
        <v>-5.9278369047619048E-3</v>
      </c>
      <c r="AS277" s="282">
        <v>-3.6553071428571428E-3</v>
      </c>
      <c r="AT277" s="282">
        <v>-2.0897892857142854E-3</v>
      </c>
      <c r="AU277" s="282">
        <v>-1.5514857142857135E-3</v>
      </c>
      <c r="AV277" s="282">
        <f t="shared" ca="1" si="15"/>
        <v>-3.9733690476190437E-4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58.5</v>
      </c>
      <c r="G278" s="271">
        <v>58.66</v>
      </c>
      <c r="H278" s="271">
        <v>58</v>
      </c>
      <c r="I278" s="271">
        <v>58.32</v>
      </c>
      <c r="J278" s="271">
        <v>58.32</v>
      </c>
      <c r="K278" s="271">
        <v>57.42</v>
      </c>
      <c r="L278" s="271">
        <v>55.82</v>
      </c>
      <c r="M278" s="271">
        <v>52</v>
      </c>
      <c r="N278" s="271">
        <v>52</v>
      </c>
      <c r="O278" s="271">
        <v>52.64</v>
      </c>
      <c r="P278" s="271">
        <v>53.14</v>
      </c>
      <c r="Q278" s="271">
        <v>52.28</v>
      </c>
      <c r="R278" s="271">
        <v>52.74</v>
      </c>
      <c r="S278" s="271">
        <v>53.38</v>
      </c>
      <c r="T278" s="271">
        <v>53.94</v>
      </c>
      <c r="U278" s="271">
        <v>53.76</v>
      </c>
      <c r="V278" s="271">
        <v>54.32</v>
      </c>
      <c r="W278" s="271">
        <v>55.82</v>
      </c>
      <c r="X278" s="271">
        <v>57.6</v>
      </c>
      <c r="Y278" s="271">
        <v>57.26</v>
      </c>
      <c r="Z278" s="273">
        <f ca="1">[1]ExtEntry!$H78</f>
        <v>57.26</v>
      </c>
      <c r="AB278" s="286">
        <v>0.14899850000000003</v>
      </c>
      <c r="AC278" s="286">
        <v>0.14911449999999998</v>
      </c>
      <c r="AD278" s="286">
        <v>0.12922449999999999</v>
      </c>
      <c r="AE278" s="286">
        <v>0.14131050000000001</v>
      </c>
      <c r="AF278" s="286">
        <v>0.13644250000000002</v>
      </c>
      <c r="AG278" s="286">
        <v>0.10266949999999998</v>
      </c>
      <c r="AH278" s="286">
        <v>5.0201499999999996E-2</v>
      </c>
      <c r="AI278" s="286">
        <v>-1.5881500000000007E-2</v>
      </c>
      <c r="AJ278" s="286">
        <v>-1.3917499999999999E-2</v>
      </c>
      <c r="AK278" s="286">
        <v>-1.5159500000000006E-2</v>
      </c>
      <c r="AL278" s="286">
        <v>-7.5947499999999987E-2</v>
      </c>
      <c r="AM278" s="286">
        <v>-1.0508958333333334E-2</v>
      </c>
      <c r="AN278" s="286">
        <v>-1.3051982142857141E-2</v>
      </c>
      <c r="AO278" s="286">
        <v>-9.4204464285714273E-3</v>
      </c>
      <c r="AP278" s="286">
        <v>-5.0814761904761901E-3</v>
      </c>
      <c r="AQ278" s="286">
        <v>5.0253630952380949E-3</v>
      </c>
      <c r="AR278" s="286">
        <v>6.7396309523809518E-3</v>
      </c>
      <c r="AS278" s="286">
        <v>8.1114047619047606E-3</v>
      </c>
      <c r="AT278" s="286">
        <v>9.5996011904761879E-3</v>
      </c>
      <c r="AU278" s="286">
        <v>1.1949494047619046E-2</v>
      </c>
      <c r="AV278" s="282">
        <f t="shared" ca="1" si="15"/>
        <v>1.0399148809523808E-2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197.48</v>
      </c>
      <c r="G279" s="271">
        <v>198.16</v>
      </c>
      <c r="H279" s="271">
        <v>198.28389999999999</v>
      </c>
      <c r="I279" s="271">
        <v>198.89</v>
      </c>
      <c r="J279" s="271">
        <v>198.89</v>
      </c>
      <c r="K279" s="271">
        <v>189.62</v>
      </c>
      <c r="L279" s="271">
        <v>193.28</v>
      </c>
      <c r="M279" s="271">
        <v>189.39</v>
      </c>
      <c r="N279" s="271">
        <v>186.92</v>
      </c>
      <c r="O279" s="271">
        <v>187.19</v>
      </c>
      <c r="P279" s="271">
        <v>185.25</v>
      </c>
      <c r="Q279" s="271">
        <v>178.715</v>
      </c>
      <c r="R279" s="271">
        <v>176.27500000000001</v>
      </c>
      <c r="S279" s="271">
        <v>175.14</v>
      </c>
      <c r="T279" s="271">
        <v>178.18</v>
      </c>
      <c r="U279" s="271">
        <v>183.98</v>
      </c>
      <c r="V279" s="271">
        <v>181.8</v>
      </c>
      <c r="W279" s="271">
        <v>185.01</v>
      </c>
      <c r="X279" s="271">
        <v>188.09</v>
      </c>
      <c r="Y279" s="271">
        <v>184.37</v>
      </c>
      <c r="Z279" s="273">
        <f ca="1">[1]ExtEntry!$H79</f>
        <v>184.37</v>
      </c>
      <c r="AB279" s="282">
        <v>0.29395000000000004</v>
      </c>
      <c r="AC279" s="282">
        <v>0.28283300000000006</v>
      </c>
      <c r="AD279" s="282">
        <v>0.28428600000000009</v>
      </c>
      <c r="AE279" s="282">
        <v>0.30675000000000008</v>
      </c>
      <c r="AF279" s="282">
        <v>0.29303499999999999</v>
      </c>
      <c r="AG279" s="282">
        <v>0.22801600000000002</v>
      </c>
      <c r="AH279" s="282">
        <v>0.21795500000000001</v>
      </c>
      <c r="AI279" s="282">
        <v>0.17540300000000011</v>
      </c>
      <c r="AJ279" s="282">
        <v>0.17215500000000003</v>
      </c>
      <c r="AK279" s="282">
        <v>-2.3509999999999975E-2</v>
      </c>
      <c r="AL279" s="282">
        <v>-0.10901899999999999</v>
      </c>
      <c r="AM279" s="282">
        <v>-9.2113630952380919E-3</v>
      </c>
      <c r="AN279" s="282">
        <v>-1.1338255952380952E-2</v>
      </c>
      <c r="AO279" s="282">
        <v>-7.0189999999999992E-3</v>
      </c>
      <c r="AP279" s="282">
        <v>-4.5963988095238072E-3</v>
      </c>
      <c r="AQ279" s="282">
        <v>-1.7502321428571428E-3</v>
      </c>
      <c r="AR279" s="282">
        <v>-1.437458333333334E-3</v>
      </c>
      <c r="AS279" s="282">
        <v>3.6720238095238125E-4</v>
      </c>
      <c r="AT279" s="282">
        <v>2.837714285714285E-3</v>
      </c>
      <c r="AU279" s="282">
        <v>6.3598035714285718E-3</v>
      </c>
      <c r="AV279" s="282">
        <f t="shared" ca="1" si="15"/>
        <v>7.7576071428571425E-3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739.71</v>
      </c>
      <c r="G280" s="271">
        <v>733.54</v>
      </c>
      <c r="H280" s="271">
        <v>727.86</v>
      </c>
      <c r="I280" s="271">
        <v>721.48500000000001</v>
      </c>
      <c r="J280" s="271">
        <v>721.48500000000001</v>
      </c>
      <c r="K280" s="271">
        <v>720.08</v>
      </c>
      <c r="L280" s="271">
        <v>738.79</v>
      </c>
      <c r="M280" s="271">
        <v>749.15</v>
      </c>
      <c r="N280" s="271">
        <v>749.29</v>
      </c>
      <c r="O280" s="271">
        <v>748.71500000000003</v>
      </c>
      <c r="P280" s="271">
        <v>745.25</v>
      </c>
      <c r="Q280" s="271">
        <v>726.625</v>
      </c>
      <c r="R280" s="271">
        <v>726.245</v>
      </c>
      <c r="S280" s="271">
        <v>730.56</v>
      </c>
      <c r="T280" s="271">
        <v>748.9</v>
      </c>
      <c r="U280" s="271">
        <v>741.57</v>
      </c>
      <c r="V280" s="271">
        <v>763.86</v>
      </c>
      <c r="W280" s="271">
        <v>769.76</v>
      </c>
      <c r="X280" s="271">
        <v>785.16</v>
      </c>
      <c r="Y280" s="271">
        <v>779.79300000000001</v>
      </c>
      <c r="Z280" s="273">
        <f ca="1">[1]ExtEntry!$H80</f>
        <v>779.79300000000001</v>
      </c>
      <c r="AB280" s="286">
        <v>4.1043700000000009E-2</v>
      </c>
      <c r="AC280" s="286">
        <v>2.1854999999999999E-2</v>
      </c>
      <c r="AD280" s="286">
        <v>1.3726000000000002E-2</v>
      </c>
      <c r="AE280" s="286">
        <v>3.9550000000000019E-3</v>
      </c>
      <c r="AF280" s="286">
        <v>-3.3435999999999994E-2</v>
      </c>
      <c r="AG280" s="286">
        <v>-5.9666999999999998E-2</v>
      </c>
      <c r="AH280" s="286">
        <v>-6.6242999999999996E-2</v>
      </c>
      <c r="AI280" s="286">
        <v>-6.5332000000000001E-2</v>
      </c>
      <c r="AJ280" s="286">
        <v>-5.7662000000000005E-2</v>
      </c>
      <c r="AK280" s="286">
        <v>-5.7705999999999993E-2</v>
      </c>
      <c r="AL280" s="286">
        <v>-5.0796999999999988E-2</v>
      </c>
      <c r="AM280" s="286">
        <v>-1.4629523809523803E-3</v>
      </c>
      <c r="AN280" s="286">
        <v>-1.2529464285714288E-3</v>
      </c>
      <c r="AO280" s="286">
        <v>-4.9535357142857159E-4</v>
      </c>
      <c r="AP280" s="286">
        <v>1.6331166666666663E-3</v>
      </c>
      <c r="AQ280" s="286">
        <v>4.6600357142857079E-4</v>
      </c>
      <c r="AR280" s="286">
        <v>2.350592857142857E-3</v>
      </c>
      <c r="AS280" s="286">
        <v>3.4089916666666664E-3</v>
      </c>
      <c r="AT280" s="286">
        <v>5.1862119047619039E-3</v>
      </c>
      <c r="AU280" s="286">
        <v>9.4130273809523799E-3</v>
      </c>
      <c r="AV280" s="282">
        <f t="shared" ca="1" si="15"/>
        <v>9.6260869047619033E-3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2.4649999999999999</v>
      </c>
      <c r="G281" s="271">
        <v>2.335</v>
      </c>
      <c r="H281" s="271">
        <v>2.1637</v>
      </c>
      <c r="I281" s="271">
        <v>1.9675</v>
      </c>
      <c r="J281" s="271">
        <v>1.9675</v>
      </c>
      <c r="K281" s="271">
        <v>1.97</v>
      </c>
      <c r="L281" s="271">
        <v>1.94</v>
      </c>
      <c r="M281" s="271">
        <v>1.84</v>
      </c>
      <c r="N281" s="271">
        <v>1.84</v>
      </c>
      <c r="O281" s="271">
        <v>1.7858000000000001</v>
      </c>
      <c r="P281" s="271">
        <v>1.7</v>
      </c>
      <c r="Q281" s="271">
        <v>1.605</v>
      </c>
      <c r="R281" s="271">
        <v>1.65</v>
      </c>
      <c r="S281" s="271">
        <v>1.65</v>
      </c>
      <c r="T281" s="271">
        <v>1.69</v>
      </c>
      <c r="U281" s="271">
        <v>1.71</v>
      </c>
      <c r="V281" s="271">
        <v>1.71</v>
      </c>
      <c r="W281" s="271">
        <v>1.68</v>
      </c>
      <c r="X281" s="271">
        <v>1.77</v>
      </c>
      <c r="Y281" s="271">
        <v>1.88</v>
      </c>
      <c r="Z281" s="273">
        <f ca="1">[1]ExtEntry!$H81</f>
        <v>1.88</v>
      </c>
      <c r="AB281" s="282">
        <v>-0.22574800000000003</v>
      </c>
      <c r="AC281" s="282">
        <v>-0.29441400000000001</v>
      </c>
      <c r="AD281" s="282">
        <v>-0.358514</v>
      </c>
      <c r="AE281" s="282">
        <v>-0.42726900000000007</v>
      </c>
      <c r="AF281" s="282">
        <v>-0.60148999999999997</v>
      </c>
      <c r="AG281" s="282">
        <v>-0.69335899999999995</v>
      </c>
      <c r="AH281" s="282">
        <v>-0.62018399999999996</v>
      </c>
      <c r="AI281" s="282">
        <v>-0.61568299999999998</v>
      </c>
      <c r="AJ281" s="282">
        <v>-0.65318299999999996</v>
      </c>
      <c r="AK281" s="282">
        <v>-0.69231699999999996</v>
      </c>
      <c r="AL281" s="282">
        <v>-0.67528999999999995</v>
      </c>
      <c r="AM281" s="282">
        <v>-4.1172857142857261E-3</v>
      </c>
      <c r="AN281" s="282">
        <v>4.5566785714285692E-3</v>
      </c>
      <c r="AO281" s="282">
        <v>6.1639761904761885E-3</v>
      </c>
      <c r="AP281" s="282">
        <v>1.1266559523809521E-2</v>
      </c>
      <c r="AQ281" s="282">
        <v>1.7395000000000001E-2</v>
      </c>
      <c r="AR281" s="282">
        <v>1.79552380952381E-2</v>
      </c>
      <c r="AS281" s="282">
        <v>2.2046886904761899E-2</v>
      </c>
      <c r="AT281" s="282">
        <v>3.063130357142857E-2</v>
      </c>
      <c r="AU281" s="282">
        <v>4.8090261904761906E-2</v>
      </c>
      <c r="AV281" s="282">
        <f t="shared" ca="1" si="15"/>
        <v>4.1400315476190483E-2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30.4512</v>
      </c>
      <c r="G282" s="271">
        <v>31.594999999999999</v>
      </c>
      <c r="H282" s="271">
        <v>31.335000000000001</v>
      </c>
      <c r="I282" s="271">
        <v>31.46</v>
      </c>
      <c r="J282" s="271">
        <v>31.46</v>
      </c>
      <c r="K282" s="271">
        <v>31.18</v>
      </c>
      <c r="L282" s="271">
        <v>32.515000000000001</v>
      </c>
      <c r="M282" s="271">
        <v>33.405000000000001</v>
      </c>
      <c r="N282" s="271">
        <v>33.200000000000003</v>
      </c>
      <c r="O282" s="271">
        <v>32.664999999999999</v>
      </c>
      <c r="P282" s="271">
        <v>32.9</v>
      </c>
      <c r="Q282" s="271">
        <v>31.782800000000002</v>
      </c>
      <c r="R282" s="271">
        <v>32.700000000000003</v>
      </c>
      <c r="S282" s="271">
        <v>32.33</v>
      </c>
      <c r="T282" s="271">
        <v>31.12</v>
      </c>
      <c r="U282" s="271">
        <v>31.72</v>
      </c>
      <c r="V282" s="271">
        <v>30.99</v>
      </c>
      <c r="W282" s="271">
        <v>31.11</v>
      </c>
      <c r="X282" s="271">
        <v>31.8</v>
      </c>
      <c r="Y282" s="271">
        <v>31.664999999999999</v>
      </c>
      <c r="Z282" s="273">
        <f ca="1">[1]ExtEntry!$H82</f>
        <v>31.664999999999999</v>
      </c>
      <c r="AB282" s="286">
        <v>-0.15881699999999999</v>
      </c>
      <c r="AC282" s="286">
        <v>-0.1291156</v>
      </c>
      <c r="AD282" s="286">
        <v>-0.14453460000000004</v>
      </c>
      <c r="AE282" s="286">
        <v>-0.14932960000000003</v>
      </c>
      <c r="AF282" s="286">
        <v>-0.15180260000000004</v>
      </c>
      <c r="AG282" s="286">
        <v>-0.17204560000000002</v>
      </c>
      <c r="AH282" s="286">
        <v>-6.8182599999999982E-2</v>
      </c>
      <c r="AI282" s="286">
        <v>-3.9465599999999976E-2</v>
      </c>
      <c r="AJ282" s="286">
        <v>-2.437559999999999E-2</v>
      </c>
      <c r="AK282" s="286">
        <v>-2.7814599999999991E-2</v>
      </c>
      <c r="AL282" s="286">
        <v>-3.7404599999999996E-2</v>
      </c>
      <c r="AM282" s="286">
        <v>-4.2943345238095239E-3</v>
      </c>
      <c r="AN282" s="286">
        <v>-5.112775E-3</v>
      </c>
      <c r="AO282" s="286">
        <v>-2.5435011904761896E-3</v>
      </c>
      <c r="AP282" s="286">
        <v>-4.170792857142858E-3</v>
      </c>
      <c r="AQ282" s="286">
        <v>-7.1250845238095238E-3</v>
      </c>
      <c r="AR282" s="286">
        <v>-8.542310714285713E-3</v>
      </c>
      <c r="AS282" s="286">
        <v>-6.2412797619047613E-3</v>
      </c>
      <c r="AT282" s="286">
        <v>-5.1220833333333327E-3</v>
      </c>
      <c r="AU282" s="286">
        <v>1.7085059523809522E-3</v>
      </c>
      <c r="AV282" s="282">
        <f t="shared" ca="1" si="15"/>
        <v>-7.340595238095242E-4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576.79999999999995</v>
      </c>
      <c r="G283" s="271">
        <v>583.1</v>
      </c>
      <c r="H283" s="271">
        <v>581.91</v>
      </c>
      <c r="I283" s="271">
        <v>585.46159999999998</v>
      </c>
      <c r="J283" s="271">
        <v>585.46159999999998</v>
      </c>
      <c r="K283" s="271">
        <v>592.91</v>
      </c>
      <c r="L283" s="271">
        <v>593.16999999999996</v>
      </c>
      <c r="M283" s="271">
        <v>591.61</v>
      </c>
      <c r="N283" s="271">
        <v>590.73</v>
      </c>
      <c r="O283" s="271">
        <v>590.30999999999995</v>
      </c>
      <c r="P283" s="271">
        <v>595.29</v>
      </c>
      <c r="Q283" s="271">
        <v>586.72500000000002</v>
      </c>
      <c r="R283" s="271">
        <v>591.54999999999995</v>
      </c>
      <c r="S283" s="271">
        <v>593.28</v>
      </c>
      <c r="T283" s="271">
        <v>595.64</v>
      </c>
      <c r="U283" s="271">
        <v>586.91</v>
      </c>
      <c r="V283" s="271">
        <v>583.76</v>
      </c>
      <c r="W283" s="271">
        <v>579.38</v>
      </c>
      <c r="X283" s="271">
        <v>589.6</v>
      </c>
      <c r="Y283" s="271">
        <v>580.88</v>
      </c>
      <c r="Z283" s="273">
        <f ca="1">[1]ExtEntry!$H83</f>
        <v>580.88</v>
      </c>
      <c r="AB283" s="282">
        <v>2.48197E-2</v>
      </c>
      <c r="AC283" s="282">
        <v>3.0446699999999993E-2</v>
      </c>
      <c r="AD283" s="282">
        <v>2.4655700000000003E-2</v>
      </c>
      <c r="AE283" s="282">
        <v>2.3316700000000006E-2</v>
      </c>
      <c r="AF283" s="282">
        <v>1.9618700000000006E-2</v>
      </c>
      <c r="AG283" s="282">
        <v>2.62977E-2</v>
      </c>
      <c r="AH283" s="282">
        <v>1.34457E-2</v>
      </c>
      <c r="AI283" s="282">
        <v>2.5677000000000009E-3</v>
      </c>
      <c r="AJ283" s="282">
        <v>7.1110000000000314E-4</v>
      </c>
      <c r="AK283" s="282">
        <v>7.2194999999999968E-3</v>
      </c>
      <c r="AL283" s="282">
        <v>2.9175E-3</v>
      </c>
      <c r="AM283" s="282">
        <v>-8.4009880952380948E-4</v>
      </c>
      <c r="AN283" s="282">
        <v>-1.7178315476190477E-3</v>
      </c>
      <c r="AO283" s="282">
        <v>-2.5108136904761912E-3</v>
      </c>
      <c r="AP283" s="282">
        <v>-1.3096648809523812E-3</v>
      </c>
      <c r="AQ283" s="282">
        <v>-3.3527797619047647E-4</v>
      </c>
      <c r="AR283" s="282">
        <v>-1.5221946428571429E-3</v>
      </c>
      <c r="AS283" s="282">
        <v>-8.1594702380952393E-4</v>
      </c>
      <c r="AT283" s="282">
        <v>-4.9738750000000013E-4</v>
      </c>
      <c r="AU283" s="282">
        <v>3.058434523809525E-4</v>
      </c>
      <c r="AV283" s="282">
        <f t="shared" ca="1" si="15"/>
        <v>-5.1617619047619051E-4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9.0399999999999991</v>
      </c>
      <c r="G284" s="271">
        <v>9.4149999999999991</v>
      </c>
      <c r="H284" s="271">
        <v>10.205</v>
      </c>
      <c r="I284" s="271">
        <v>9.4799000000000007</v>
      </c>
      <c r="J284" s="271">
        <v>9.4799000000000007</v>
      </c>
      <c r="K284" s="271">
        <v>8.74</v>
      </c>
      <c r="L284" s="271">
        <v>7.52</v>
      </c>
      <c r="M284" s="271">
        <v>7.5</v>
      </c>
      <c r="N284" s="271">
        <v>7.58</v>
      </c>
      <c r="O284" s="271">
        <v>7.48</v>
      </c>
      <c r="P284" s="271">
        <v>7.47</v>
      </c>
      <c r="Q284" s="271">
        <v>7.5</v>
      </c>
      <c r="R284" s="271">
        <v>7.56</v>
      </c>
      <c r="S284" s="271">
        <v>7.4</v>
      </c>
      <c r="T284" s="271">
        <v>7.79</v>
      </c>
      <c r="U284" s="271">
        <v>7.73</v>
      </c>
      <c r="V284" s="271">
        <v>7.96</v>
      </c>
      <c r="W284" s="271">
        <v>7.96</v>
      </c>
      <c r="X284" s="271">
        <v>8.2750000000000004</v>
      </c>
      <c r="Y284" s="271">
        <v>7.98</v>
      </c>
      <c r="Z284" s="273">
        <f ca="1">[1]ExtEntry!$H84</f>
        <v>7.98</v>
      </c>
      <c r="AB284" s="286">
        <v>0.39564199999999999</v>
      </c>
      <c r="AC284" s="286">
        <v>0.39548</v>
      </c>
      <c r="AD284" s="286">
        <v>0.46286300000000002</v>
      </c>
      <c r="AE284" s="286">
        <v>0.41487999999999997</v>
      </c>
      <c r="AF284" s="286">
        <v>0.30530999999999997</v>
      </c>
      <c r="AG284" s="286">
        <v>0.13750400000000004</v>
      </c>
      <c r="AH284" s="286">
        <v>0.122198</v>
      </c>
      <c r="AI284" s="286">
        <v>0.141789</v>
      </c>
      <c r="AJ284" s="286">
        <v>0.17789099999999999</v>
      </c>
      <c r="AK284" s="286">
        <v>0.18752300000000002</v>
      </c>
      <c r="AL284" s="286">
        <v>0.20220799999999992</v>
      </c>
      <c r="AM284" s="286">
        <v>-3.0623238095238092E-2</v>
      </c>
      <c r="AN284" s="286">
        <v>-2.8203059523809523E-2</v>
      </c>
      <c r="AO284" s="286">
        <v>-1.855517261904762E-2</v>
      </c>
      <c r="AP284" s="286">
        <v>-9.5160595238095204E-3</v>
      </c>
      <c r="AQ284" s="286">
        <v>-4.8344345238095256E-3</v>
      </c>
      <c r="AR284" s="286">
        <v>3.3905357142857123E-3</v>
      </c>
      <c r="AS284" s="286">
        <v>3.2498988095238076E-3</v>
      </c>
      <c r="AT284" s="286">
        <v>6.2201904761904755E-3</v>
      </c>
      <c r="AU284" s="286">
        <v>5.583095238095236E-3</v>
      </c>
      <c r="AV284" s="282">
        <f t="shared" ca="1" si="15"/>
        <v>5.3653749999999969E-3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121.8</v>
      </c>
      <c r="G285" s="271">
        <v>123.325</v>
      </c>
      <c r="H285" s="271">
        <v>124.34</v>
      </c>
      <c r="I285" s="271">
        <v>125.0138</v>
      </c>
      <c r="J285" s="271">
        <v>125.0138</v>
      </c>
      <c r="K285" s="271">
        <v>127.25</v>
      </c>
      <c r="L285" s="271">
        <v>125.06</v>
      </c>
      <c r="M285" s="271">
        <v>126.64</v>
      </c>
      <c r="N285" s="271">
        <v>126.92</v>
      </c>
      <c r="O285" s="271">
        <v>126.4</v>
      </c>
      <c r="P285" s="271">
        <v>126.55</v>
      </c>
      <c r="Q285" s="271">
        <v>125.895</v>
      </c>
      <c r="R285" s="271">
        <v>127.82299999999999</v>
      </c>
      <c r="S285" s="271">
        <v>128.22999999999999</v>
      </c>
      <c r="T285" s="271">
        <v>128.41999999999999</v>
      </c>
      <c r="U285" s="271">
        <v>128.63999999999999</v>
      </c>
      <c r="V285" s="271">
        <v>128.06</v>
      </c>
      <c r="W285" s="271">
        <v>126.56</v>
      </c>
      <c r="X285" s="271">
        <v>127.61</v>
      </c>
      <c r="Y285" s="271">
        <v>124.125</v>
      </c>
      <c r="Z285" s="273">
        <f ca="1">[1]ExtEntry!$H85</f>
        <v>124.125</v>
      </c>
      <c r="AB285" s="282">
        <v>4.7889500000000002E-2</v>
      </c>
      <c r="AC285" s="282">
        <v>5.3201499999999999E-2</v>
      </c>
      <c r="AD285" s="282">
        <v>5.0222499999999996E-2</v>
      </c>
      <c r="AE285" s="282">
        <v>5.9280299999999994E-2</v>
      </c>
      <c r="AF285" s="282">
        <v>5.7617299999999996E-2</v>
      </c>
      <c r="AG285" s="282">
        <v>6.62663E-2</v>
      </c>
      <c r="AH285" s="282">
        <v>5.5469299999999992E-2</v>
      </c>
      <c r="AI285" s="282">
        <v>6.6392300000000001E-2</v>
      </c>
      <c r="AJ285" s="282">
        <v>8.1602300000000003E-2</v>
      </c>
      <c r="AK285" s="282">
        <v>8.2773300000000008E-2</v>
      </c>
      <c r="AL285" s="282">
        <v>0.10818490000000003</v>
      </c>
      <c r="AM285" s="282">
        <v>-1.9975690476190491E-3</v>
      </c>
      <c r="AN285" s="282">
        <v>-1.6335333333333344E-3</v>
      </c>
      <c r="AO285" s="282">
        <v>-2.5746523809523801E-3</v>
      </c>
      <c r="AP285" s="282">
        <v>-6.1038809523809422E-4</v>
      </c>
      <c r="AQ285" s="282">
        <v>-4.570995238095241E-3</v>
      </c>
      <c r="AR285" s="282">
        <v>-4.3989535714285708E-3</v>
      </c>
      <c r="AS285" s="282">
        <v>-4.4140369047619048E-3</v>
      </c>
      <c r="AT285" s="282">
        <v>-3.1480642857142842E-3</v>
      </c>
      <c r="AU285" s="282">
        <v>-4.3440107142857136E-3</v>
      </c>
      <c r="AV285" s="282">
        <f t="shared" ca="1" si="15"/>
        <v>-6.9934392857142862E-3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14.41</v>
      </c>
      <c r="G286" s="271">
        <v>14.45</v>
      </c>
      <c r="H286" s="271">
        <v>14.5</v>
      </c>
      <c r="I286" s="271">
        <v>14.385</v>
      </c>
      <c r="J286" s="271">
        <v>14.385</v>
      </c>
      <c r="K286" s="271">
        <v>14.484999999999999</v>
      </c>
      <c r="L286" s="271">
        <v>14.215</v>
      </c>
      <c r="M286" s="271">
        <v>13.875</v>
      </c>
      <c r="N286" s="271">
        <v>13.86</v>
      </c>
      <c r="O286" s="271">
        <v>13.744999999999999</v>
      </c>
      <c r="P286" s="271">
        <v>13.885</v>
      </c>
      <c r="Q286" s="271">
        <v>13.775</v>
      </c>
      <c r="R286" s="271">
        <v>13.52</v>
      </c>
      <c r="S286" s="271">
        <v>13.68</v>
      </c>
      <c r="T286" s="271">
        <v>13.68</v>
      </c>
      <c r="U286" s="271">
        <v>13.525</v>
      </c>
      <c r="V286" s="271">
        <v>13.67</v>
      </c>
      <c r="W286" s="271">
        <v>13.72</v>
      </c>
      <c r="X286" s="271">
        <v>13.89</v>
      </c>
      <c r="Y286" s="271">
        <v>13.9</v>
      </c>
      <c r="Z286" s="273">
        <f ca="1">[1]ExtEntry!$H86</f>
        <v>13.9</v>
      </c>
      <c r="AB286" s="286">
        <v>0.11182300000000001</v>
      </c>
      <c r="AC286" s="286">
        <v>0.11118500000000001</v>
      </c>
      <c r="AD286" s="286">
        <v>0.12481700000000001</v>
      </c>
      <c r="AE286" s="286">
        <v>0.10949400000000001</v>
      </c>
      <c r="AF286" s="286">
        <v>0.11053300000000002</v>
      </c>
      <c r="AG286" s="286">
        <v>0.11176600000000002</v>
      </c>
      <c r="AH286" s="286">
        <v>7.9359000000000013E-2</v>
      </c>
      <c r="AI286" s="286">
        <v>5.393700000000004E-2</v>
      </c>
      <c r="AJ286" s="286">
        <v>7.350200000000004E-2</v>
      </c>
      <c r="AK286" s="286">
        <v>6.4078000000000024E-2</v>
      </c>
      <c r="AL286" s="286">
        <v>6.187400000000004E-2</v>
      </c>
      <c r="AM286" s="286">
        <v>-8.4527083333333329E-3</v>
      </c>
      <c r="AN286" s="286">
        <v>-7.3644702380952377E-3</v>
      </c>
      <c r="AO286" s="286">
        <v>-7.6222559523809524E-3</v>
      </c>
      <c r="AP286" s="286">
        <v>-5.3934404761904762E-3</v>
      </c>
      <c r="AQ286" s="286">
        <v>-2.5740654761904768E-3</v>
      </c>
      <c r="AR286" s="286">
        <v>-1.8836249999999997E-3</v>
      </c>
      <c r="AS286" s="286">
        <v>-1.4967857142857122E-4</v>
      </c>
      <c r="AT286" s="286">
        <v>1.6960714285714287E-3</v>
      </c>
      <c r="AU286" s="286">
        <v>2.6183672619047617E-3</v>
      </c>
      <c r="AV286" s="282">
        <f t="shared" ca="1" si="15"/>
        <v>5.7525023809523804E-3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44.24</v>
      </c>
      <c r="G287" s="271">
        <v>44.84</v>
      </c>
      <c r="H287" s="271">
        <v>44.079900000000002</v>
      </c>
      <c r="I287" s="271">
        <v>43.994999999999997</v>
      </c>
      <c r="J287" s="271">
        <v>43.994999999999997</v>
      </c>
      <c r="K287" s="271">
        <v>44.284999999999997</v>
      </c>
      <c r="L287" s="271">
        <v>46.42</v>
      </c>
      <c r="M287" s="271">
        <v>46.045000000000002</v>
      </c>
      <c r="N287" s="271">
        <v>46.905000000000001</v>
      </c>
      <c r="O287" s="271">
        <v>46.91</v>
      </c>
      <c r="P287" s="271">
        <v>47.61</v>
      </c>
      <c r="Q287" s="271">
        <v>47.82</v>
      </c>
      <c r="R287" s="271">
        <v>46.753</v>
      </c>
      <c r="S287" s="271">
        <v>46.3</v>
      </c>
      <c r="T287" s="271">
        <v>46.61</v>
      </c>
      <c r="U287" s="271">
        <v>45.4</v>
      </c>
      <c r="V287" s="271">
        <v>45.13</v>
      </c>
      <c r="W287" s="271">
        <v>46.295000000000002</v>
      </c>
      <c r="X287" s="271">
        <v>46.05</v>
      </c>
      <c r="Y287" s="271">
        <v>45.66</v>
      </c>
      <c r="Z287" s="273">
        <f ca="1">[1]ExtEntry!$H87</f>
        <v>45.66</v>
      </c>
      <c r="AB287" s="282">
        <v>1.5304000000000007E-2</v>
      </c>
      <c r="AC287" s="282">
        <v>1.5835000000000009E-2</v>
      </c>
      <c r="AD287" s="282">
        <v>1.2090000000000012E-2</v>
      </c>
      <c r="AE287" s="282">
        <v>2.1441000000000009E-2</v>
      </c>
      <c r="AF287" s="282">
        <v>-3.6240000000000022E-3</v>
      </c>
      <c r="AG287" s="282">
        <v>-1.6433000000000003E-2</v>
      </c>
      <c r="AH287" s="282">
        <v>-7.608999999999996E-3</v>
      </c>
      <c r="AI287" s="282">
        <v>-1.7276999999999987E-2</v>
      </c>
      <c r="AJ287" s="282">
        <v>-1.7389000000000002E-2</v>
      </c>
      <c r="AK287" s="282">
        <v>6.1214000000000086E-3</v>
      </c>
      <c r="AL287" s="282">
        <v>1.88094E-2</v>
      </c>
      <c r="AM287" s="282">
        <v>2.3527809523809524E-3</v>
      </c>
      <c r="AN287" s="282">
        <v>2.9753095238095194E-4</v>
      </c>
      <c r="AO287" s="282">
        <v>-3.8098559523809519E-3</v>
      </c>
      <c r="AP287" s="282">
        <v>-4.6677071428571438E-3</v>
      </c>
      <c r="AQ287" s="282">
        <v>-5.1346714285714287E-3</v>
      </c>
      <c r="AR287" s="282">
        <v>-5.8796535714285714E-3</v>
      </c>
      <c r="AS287" s="282">
        <v>-2.8447988095238099E-3</v>
      </c>
      <c r="AT287" s="282">
        <v>-4.1762452380952383E-3</v>
      </c>
      <c r="AU287" s="282">
        <v>-4.8644952380952388E-3</v>
      </c>
      <c r="AV287" s="282">
        <f t="shared" ca="1" si="15"/>
        <v>-1.8907690476190481E-3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25.0349</v>
      </c>
      <c r="H288" s="271">
        <v>25.135000000000002</v>
      </c>
      <c r="I288" s="271">
        <v>25.316500000000001</v>
      </c>
      <c r="J288" s="271">
        <v>25.316500000000001</v>
      </c>
      <c r="K288" s="271">
        <v>25.375</v>
      </c>
      <c r="L288" s="271">
        <v>25.13</v>
      </c>
      <c r="M288" s="271">
        <v>24.92</v>
      </c>
      <c r="N288" s="271">
        <v>25.065000000000001</v>
      </c>
      <c r="O288" s="271">
        <v>24.594999999999999</v>
      </c>
      <c r="P288" s="271">
        <v>24.76</v>
      </c>
      <c r="Q288" s="271">
        <v>24.823399999999999</v>
      </c>
      <c r="R288" s="271">
        <v>24.975000000000001</v>
      </c>
      <c r="S288" s="271">
        <v>24.79</v>
      </c>
      <c r="T288" s="271">
        <v>24.54</v>
      </c>
      <c r="U288" s="271">
        <v>24.565000000000001</v>
      </c>
      <c r="V288" s="271">
        <v>24.72</v>
      </c>
      <c r="W288" s="271">
        <v>24.59</v>
      </c>
      <c r="X288" s="271">
        <v>24.84</v>
      </c>
      <c r="Y288" s="271">
        <v>23.88</v>
      </c>
      <c r="Z288" s="273">
        <f ca="1">[1]ExtEntry!$H88</f>
        <v>23.88</v>
      </c>
      <c r="AB288" s="286">
        <v>1.8571200000000003E-2</v>
      </c>
      <c r="AC288" s="286">
        <v>1.8237200000000009E-2</v>
      </c>
      <c r="AD288" s="286">
        <v>2.0490300000000006E-2</v>
      </c>
      <c r="AE288" s="286">
        <v>3.8904300000000017E-2</v>
      </c>
      <c r="AF288" s="286">
        <v>3.9985300000000001E-2</v>
      </c>
      <c r="AG288" s="286">
        <v>3.3406300000000007E-2</v>
      </c>
      <c r="AH288" s="286">
        <v>4.2290999999999961E-3</v>
      </c>
      <c r="AI288" s="286">
        <v>-1.0790000000000279E-4</v>
      </c>
      <c r="AJ288" s="286">
        <v>2.5074100000000002E-2</v>
      </c>
      <c r="AK288" s="286">
        <v>2.5469099999999984E-2</v>
      </c>
      <c r="AL288" s="286">
        <v>5.4023099999999991E-2</v>
      </c>
      <c r="AM288" s="286">
        <v>-6.0604214285714291E-3</v>
      </c>
      <c r="AN288" s="286">
        <v>-6.8960083333333335E-3</v>
      </c>
      <c r="AO288" s="286">
        <v>-7.6648297619047621E-3</v>
      </c>
      <c r="AP288" s="286">
        <v>-2.3840976190476195E-3</v>
      </c>
      <c r="AQ288" s="286">
        <v>-3.8341333333333331E-3</v>
      </c>
      <c r="AR288" s="286">
        <v>-3.3192166666666666E-3</v>
      </c>
      <c r="AS288" s="286">
        <v>-7.0755595238095178E-4</v>
      </c>
      <c r="AT288" s="286">
        <v>-6.0240714285714246E-4</v>
      </c>
      <c r="AU288" s="286">
        <v>-3.8663952380952383E-3</v>
      </c>
      <c r="AV288" s="282">
        <f t="shared" ca="1" si="15"/>
        <v>-6.1190904761904757E-3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2.9312</v>
      </c>
      <c r="G289" s="271">
        <v>2.9649999999999999</v>
      </c>
      <c r="H289" s="271">
        <v>2.9199000000000002</v>
      </c>
      <c r="I289" s="271">
        <v>2.855</v>
      </c>
      <c r="J289" s="271">
        <v>2.855</v>
      </c>
      <c r="K289" s="271">
        <v>2.7949999999999999</v>
      </c>
      <c r="L289" s="271">
        <v>3.0950000000000002</v>
      </c>
      <c r="M289" s="271">
        <v>3.0249999999999999</v>
      </c>
      <c r="N289" s="271">
        <v>3.1749999999999998</v>
      </c>
      <c r="O289" s="271">
        <v>3.1046999999999998</v>
      </c>
      <c r="P289" s="271">
        <v>3.03</v>
      </c>
      <c r="Q289" s="271">
        <v>3.0249999999999999</v>
      </c>
      <c r="R289" s="271">
        <v>2.9851999999999999</v>
      </c>
      <c r="S289" s="271">
        <v>2.99</v>
      </c>
      <c r="T289" s="271">
        <v>3.1</v>
      </c>
      <c r="U289" s="271">
        <v>3.16</v>
      </c>
      <c r="V289" s="271">
        <v>3.1349999999999998</v>
      </c>
      <c r="W289" s="271">
        <v>3.2349999999999999</v>
      </c>
      <c r="X289" s="271">
        <v>3.2545000000000002</v>
      </c>
      <c r="Y289" s="271">
        <v>3.3050000000000002</v>
      </c>
      <c r="Z289" s="273">
        <f ca="1">[1]ExtEntry!$H89</f>
        <v>3.3050000000000002</v>
      </c>
      <c r="AB289" s="282">
        <v>5.3486999999999972E-2</v>
      </c>
      <c r="AC289" s="282">
        <v>2.8844999999999992E-2</v>
      </c>
      <c r="AD289" s="282">
        <v>1.5319999999999848E-3</v>
      </c>
      <c r="AE289" s="282">
        <v>-3.4473000000000004E-2</v>
      </c>
      <c r="AF289" s="282">
        <v>-0.13588000000000003</v>
      </c>
      <c r="AG289" s="282">
        <v>-0.22092900000000001</v>
      </c>
      <c r="AH289" s="282">
        <v>-0.19960100000000003</v>
      </c>
      <c r="AI289" s="282">
        <v>-0.19457400000000002</v>
      </c>
      <c r="AJ289" s="282">
        <v>-0.16849900000000004</v>
      </c>
      <c r="AK289" s="282">
        <v>-0.15949300000000002</v>
      </c>
      <c r="AL289" s="282">
        <v>-0.17190500000000003</v>
      </c>
      <c r="AM289" s="282">
        <v>-5.1392857142857056E-4</v>
      </c>
      <c r="AN289" s="282">
        <v>-1.0863095238094166E-5</v>
      </c>
      <c r="AO289" s="282">
        <v>1.1516666666666966E-4</v>
      </c>
      <c r="AP289" s="282">
        <v>2.4798154761904792E-3</v>
      </c>
      <c r="AQ289" s="282">
        <v>9.8180416666666676E-3</v>
      </c>
      <c r="AR289" s="282">
        <v>2.1618809523809525E-3</v>
      </c>
      <c r="AS289" s="282">
        <v>8.9342500000000012E-3</v>
      </c>
      <c r="AT289" s="282">
        <v>9.1077738095238104E-3</v>
      </c>
      <c r="AU289" s="282">
        <v>1.0954904761904763E-2</v>
      </c>
      <c r="AV289" s="282">
        <f t="shared" ca="1" si="15"/>
        <v>1.5297238095238093E-2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34.06</v>
      </c>
      <c r="G290" s="271">
        <v>34.450000000000003</v>
      </c>
      <c r="H290" s="271">
        <v>33.08</v>
      </c>
      <c r="I290" s="271">
        <v>32.914999999999999</v>
      </c>
      <c r="J290" s="271">
        <v>32.914999999999999</v>
      </c>
      <c r="K290" s="271">
        <v>33.08</v>
      </c>
      <c r="L290" s="271">
        <v>33.4</v>
      </c>
      <c r="M290" s="271">
        <v>33.97</v>
      </c>
      <c r="N290" s="271">
        <v>33.85</v>
      </c>
      <c r="O290" s="271">
        <v>34.130000000000003</v>
      </c>
      <c r="P290" s="271">
        <v>34.270000000000003</v>
      </c>
      <c r="Q290" s="271">
        <v>34.234200000000001</v>
      </c>
      <c r="R290" s="271">
        <v>34.744999999999997</v>
      </c>
      <c r="S290" s="271">
        <v>34.35</v>
      </c>
      <c r="T290" s="271">
        <v>34.94</v>
      </c>
      <c r="U290" s="271">
        <v>34.06</v>
      </c>
      <c r="V290" s="271">
        <v>34.299999999999997</v>
      </c>
      <c r="W290" s="271">
        <v>34.840000000000003</v>
      </c>
      <c r="X290" s="271">
        <v>35.18</v>
      </c>
      <c r="Y290" s="271">
        <v>35.299999999999997</v>
      </c>
      <c r="Z290" s="273">
        <f ca="1">[1]ExtEntry!$H90</f>
        <v>35.299999999999997</v>
      </c>
      <c r="AB290" s="286">
        <v>-0.22235750000000001</v>
      </c>
      <c r="AC290" s="286">
        <v>-0.21596260000000003</v>
      </c>
      <c r="AD290" s="286">
        <v>-0.2015286</v>
      </c>
      <c r="AE290" s="286">
        <v>-0.12987159999999998</v>
      </c>
      <c r="AF290" s="286">
        <v>-0.1380256</v>
      </c>
      <c r="AG290" s="286">
        <v>-0.1311456</v>
      </c>
      <c r="AH290" s="286">
        <v>-0.14448460000000002</v>
      </c>
      <c r="AI290" s="286">
        <v>-0.10397059999999998</v>
      </c>
      <c r="AJ290" s="286">
        <v>-0.11202359999999999</v>
      </c>
      <c r="AK290" s="286">
        <v>-0.1086366</v>
      </c>
      <c r="AL290" s="286">
        <v>-0.1143903</v>
      </c>
      <c r="AM290" s="286">
        <v>6.3308297619047611E-3</v>
      </c>
      <c r="AN290" s="286">
        <v>5.8996452380952373E-3</v>
      </c>
      <c r="AO290" s="286">
        <v>3.7718833333333329E-3</v>
      </c>
      <c r="AP290" s="286">
        <v>5.3637464285714283E-3</v>
      </c>
      <c r="AQ290" s="286">
        <v>1.5465202380952384E-3</v>
      </c>
      <c r="AR290" s="286">
        <v>2.6488476190476189E-3</v>
      </c>
      <c r="AS290" s="286">
        <v>2.307889285714286E-3</v>
      </c>
      <c r="AT290" s="286">
        <v>3.1016690476190481E-3</v>
      </c>
      <c r="AU290" s="286">
        <v>3.6954190476190473E-3</v>
      </c>
      <c r="AV290" s="282">
        <f t="shared" ca="1" si="15"/>
        <v>3.8214642857142857E-3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75.53</v>
      </c>
      <c r="G291" s="263">
        <v>75.97</v>
      </c>
      <c r="H291" s="263">
        <v>76.150000000000006</v>
      </c>
      <c r="I291" s="263">
        <v>74.23</v>
      </c>
      <c r="J291" s="263">
        <v>74.23</v>
      </c>
      <c r="K291" s="263">
        <v>74.155000000000001</v>
      </c>
      <c r="L291" s="263">
        <v>79.09</v>
      </c>
      <c r="M291" s="263">
        <v>78.775000000000006</v>
      </c>
      <c r="N291" s="263">
        <v>79.400000000000006</v>
      </c>
      <c r="O291" s="263">
        <v>80.27</v>
      </c>
      <c r="P291" s="263">
        <v>79.64</v>
      </c>
      <c r="Q291" s="263">
        <v>75.52</v>
      </c>
      <c r="R291" s="263">
        <v>75.41</v>
      </c>
      <c r="S291" s="263">
        <v>75.790000000000006</v>
      </c>
      <c r="T291" s="263">
        <v>75.75</v>
      </c>
      <c r="U291" s="263">
        <v>75.819999999999993</v>
      </c>
      <c r="V291" s="263">
        <v>75.510000000000005</v>
      </c>
      <c r="W291" s="263">
        <v>73.754999999999995</v>
      </c>
      <c r="X291" s="263">
        <v>74.234999999999999</v>
      </c>
      <c r="Y291" s="263">
        <v>72.86</v>
      </c>
      <c r="Z291" s="265">
        <f ca="1">[1]ExtEntry!$H91</f>
        <v>72.86</v>
      </c>
      <c r="AB291" s="282">
        <v>7.261980000000004E-2</v>
      </c>
      <c r="AC291" s="282">
        <v>6.0600200000000042E-2</v>
      </c>
      <c r="AD291" s="282">
        <v>-6.0157999999999982E-3</v>
      </c>
      <c r="AE291" s="282">
        <v>-0.11083079999999998</v>
      </c>
      <c r="AF291" s="282">
        <v>-0.14883679999999999</v>
      </c>
      <c r="AG291" s="282">
        <v>-0.15621279999999999</v>
      </c>
      <c r="AH291" s="282">
        <v>-0.15734480000000001</v>
      </c>
      <c r="AI291" s="282">
        <v>-0.1732988</v>
      </c>
      <c r="AJ291" s="282">
        <v>-0.16307579999999999</v>
      </c>
      <c r="AK291" s="282">
        <v>-0.14431579999999999</v>
      </c>
      <c r="AL291" s="282">
        <v>-0.15449679999999999</v>
      </c>
      <c r="AM291" s="282">
        <v>-2.9765345238095264E-3</v>
      </c>
      <c r="AN291" s="282">
        <v>-1.7269809523809531E-3</v>
      </c>
      <c r="AO291" s="282">
        <v>-1.3378619047619052E-3</v>
      </c>
      <c r="AP291" s="282">
        <v>-1.8317797619047619E-3</v>
      </c>
      <c r="AQ291" s="282">
        <v>8.3982142857140854E-5</v>
      </c>
      <c r="AR291" s="282">
        <v>-1.1411309523809542E-3</v>
      </c>
      <c r="AS291" s="282">
        <v>-6.1965297619047616E-3</v>
      </c>
      <c r="AT291" s="282">
        <v>-4.1507678571428581E-3</v>
      </c>
      <c r="AU291" s="282">
        <v>1.8658095238095231E-3</v>
      </c>
      <c r="AV291" s="282">
        <f t="shared" ca="1" si="15"/>
        <v>2.8044345238095233E-3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171.36500000000001</v>
      </c>
      <c r="G292" s="271">
        <v>170.45</v>
      </c>
      <c r="H292" s="271">
        <v>172.54</v>
      </c>
      <c r="I292" s="271">
        <v>176.48</v>
      </c>
      <c r="J292" s="271">
        <v>176.48</v>
      </c>
      <c r="K292" s="271">
        <v>181.94</v>
      </c>
      <c r="L292" s="271">
        <v>180.23</v>
      </c>
      <c r="M292" s="271">
        <v>180.04</v>
      </c>
      <c r="N292" s="271">
        <v>181.95</v>
      </c>
      <c r="O292" s="271">
        <v>182.29499999999999</v>
      </c>
      <c r="P292" s="271">
        <v>184.33</v>
      </c>
      <c r="Q292" s="271">
        <v>184.84899999999999</v>
      </c>
      <c r="R292" s="271">
        <v>186.03</v>
      </c>
      <c r="S292" s="271">
        <v>186.91</v>
      </c>
      <c r="T292" s="271">
        <v>192.52</v>
      </c>
      <c r="U292" s="271">
        <v>192.45</v>
      </c>
      <c r="V292" s="271">
        <v>196.39</v>
      </c>
      <c r="W292" s="271">
        <v>191.78</v>
      </c>
      <c r="X292" s="271">
        <v>193.31</v>
      </c>
      <c r="Y292" s="271">
        <v>192.67</v>
      </c>
      <c r="Z292" s="273">
        <f ca="1">[1]ExtEntry!$H92</f>
        <v>192.67</v>
      </c>
      <c r="AB292" s="286">
        <v>8.0718999999999985E-2</v>
      </c>
      <c r="AC292" s="286">
        <v>6.0788000000000002E-2</v>
      </c>
      <c r="AD292" s="286">
        <v>5.2899999999999989E-2</v>
      </c>
      <c r="AE292" s="286">
        <v>8.5300999999999988E-2</v>
      </c>
      <c r="AF292" s="286">
        <v>0.10035699999999999</v>
      </c>
      <c r="AG292" s="286">
        <v>0.107317</v>
      </c>
      <c r="AH292" s="286">
        <v>0.17410899999999999</v>
      </c>
      <c r="AI292" s="286">
        <v>0.14195199999999999</v>
      </c>
      <c r="AJ292" s="286">
        <v>0.13014599999999998</v>
      </c>
      <c r="AK292" s="286">
        <v>0.100452</v>
      </c>
      <c r="AL292" s="286">
        <v>9.712999999999998E-2</v>
      </c>
      <c r="AM292" s="286">
        <v>3.0227619047619048E-3</v>
      </c>
      <c r="AN292" s="286">
        <v>-1.3925595238095242E-3</v>
      </c>
      <c r="AO292" s="286">
        <v>-3.2125238095238118E-3</v>
      </c>
      <c r="AP292" s="286">
        <v>-1.629005952380953E-3</v>
      </c>
      <c r="AQ292" s="286">
        <v>-3.2685476190476206E-3</v>
      </c>
      <c r="AR292" s="286">
        <v>-2.4161785714285726E-3</v>
      </c>
      <c r="AS292" s="286">
        <v>-4.0019523809523803E-3</v>
      </c>
      <c r="AT292" s="286">
        <v>-2.9471547619047624E-3</v>
      </c>
      <c r="AU292" s="286">
        <v>-2.5059166666666663E-3</v>
      </c>
      <c r="AV292" s="282">
        <f t="shared" ca="1" si="15"/>
        <v>-3.069922619047621E-3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15.984999999999999</v>
      </c>
      <c r="G294" s="271">
        <v>15.85</v>
      </c>
      <c r="H294" s="271">
        <v>15.715</v>
      </c>
      <c r="I294" s="271">
        <v>15.695</v>
      </c>
      <c r="J294" s="271">
        <v>15.695</v>
      </c>
      <c r="K294" s="271">
        <v>15.615</v>
      </c>
      <c r="L294" s="271">
        <v>15.414999999999999</v>
      </c>
      <c r="M294" s="271">
        <v>15.57</v>
      </c>
      <c r="N294" s="271">
        <v>15.675000000000001</v>
      </c>
      <c r="O294" s="271">
        <v>15.515000000000001</v>
      </c>
      <c r="P294" s="271">
        <v>15.105</v>
      </c>
      <c r="Q294" s="271">
        <v>14.675000000000001</v>
      </c>
      <c r="R294" s="271">
        <v>14.605</v>
      </c>
      <c r="S294" s="271">
        <v>15.015000000000001</v>
      </c>
      <c r="T294" s="271">
        <v>15.04</v>
      </c>
      <c r="U294" s="271">
        <v>15.345000000000001</v>
      </c>
      <c r="V294" s="271">
        <v>15.305</v>
      </c>
      <c r="W294" s="271">
        <v>15.33</v>
      </c>
      <c r="X294" s="271">
        <v>15.295</v>
      </c>
      <c r="Y294" s="271">
        <v>15.525</v>
      </c>
      <c r="Z294" s="273">
        <f ca="1">[1]ExtEntry!$H94</f>
        <v>15.525</v>
      </c>
      <c r="AB294" s="286">
        <v>3.6649999999999964E-4</v>
      </c>
      <c r="AC294" s="286">
        <v>-1.9427500000000007E-2</v>
      </c>
      <c r="AD294" s="286">
        <v>-4.320149999999999E-2</v>
      </c>
      <c r="AE294" s="286">
        <v>-4.6723500000000001E-2</v>
      </c>
      <c r="AF294" s="286">
        <v>-2.3921499999999998E-2</v>
      </c>
      <c r="AG294" s="286">
        <v>-2.1466500000000003E-2</v>
      </c>
      <c r="AH294" s="286">
        <v>-1.8373500000000004E-2</v>
      </c>
      <c r="AI294" s="286">
        <v>-5.4725000000000017E-3</v>
      </c>
      <c r="AJ294" s="286">
        <v>5.0775000000000022E-3</v>
      </c>
      <c r="AK294" s="286">
        <v>-1.40555E-2</v>
      </c>
      <c r="AL294" s="286">
        <v>-3.1453499999999995E-2</v>
      </c>
      <c r="AM294" s="286">
        <v>-2.1048452380952373E-3</v>
      </c>
      <c r="AN294" s="286">
        <v>-1.9939821428571428E-3</v>
      </c>
      <c r="AO294" s="286">
        <v>6.5680952380952349E-4</v>
      </c>
      <c r="AP294" s="286">
        <v>1.1196845238095232E-3</v>
      </c>
      <c r="AQ294" s="286">
        <v>1.1962797619047608E-3</v>
      </c>
      <c r="AR294" s="286">
        <v>-6.5702380952380873E-4</v>
      </c>
      <c r="AS294" s="286">
        <v>-7.7309523809523766E-5</v>
      </c>
      <c r="AT294" s="286">
        <v>7.743333333333339E-4</v>
      </c>
      <c r="AU294" s="286">
        <v>4.9237261904761902E-3</v>
      </c>
      <c r="AV294" s="282">
        <f t="shared" ca="1" si="15"/>
        <v>7.5635654761904755E-3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9.5630000000000006</v>
      </c>
      <c r="G295" s="263">
        <v>9.6041000000000007</v>
      </c>
      <c r="H295" s="263">
        <v>9.6760000000000002</v>
      </c>
      <c r="I295" s="263">
        <v>9.6560000000000006</v>
      </c>
      <c r="J295" s="263">
        <v>9.6560000000000006</v>
      </c>
      <c r="K295" s="263">
        <v>9.5779999999999994</v>
      </c>
      <c r="L295" s="263">
        <v>9.8049999999999997</v>
      </c>
      <c r="M295" s="263">
        <v>9.69</v>
      </c>
      <c r="N295" s="263">
        <v>9.8710000000000004</v>
      </c>
      <c r="O295" s="263">
        <v>9.9640000000000004</v>
      </c>
      <c r="P295" s="263">
        <v>9.9990000000000006</v>
      </c>
      <c r="Q295" s="263">
        <v>9.8019999999999996</v>
      </c>
      <c r="R295" s="263">
        <v>9.827</v>
      </c>
      <c r="S295" s="263">
        <v>9.907</v>
      </c>
      <c r="T295" s="263">
        <v>10</v>
      </c>
      <c r="U295" s="263">
        <v>10.172000000000001</v>
      </c>
      <c r="V295" s="263">
        <v>10.19</v>
      </c>
      <c r="W295" s="263">
        <v>10.29</v>
      </c>
      <c r="X295" s="263">
        <v>10.398</v>
      </c>
      <c r="Y295" s="263">
        <v>10.301</v>
      </c>
      <c r="Z295" s="265">
        <f ca="1">[1]ExtEntry!$H95</f>
        <v>10.301</v>
      </c>
      <c r="AB295" s="282">
        <v>-5.4329000000000002E-2</v>
      </c>
      <c r="AC295" s="282">
        <v>-5.2762000000000003E-2</v>
      </c>
      <c r="AD295" s="282">
        <v>-5.0479000000000003E-2</v>
      </c>
      <c r="AE295" s="282">
        <v>-4.8451000000000015E-2</v>
      </c>
      <c r="AF295" s="282">
        <v>-5.5749000000000014E-2</v>
      </c>
      <c r="AG295" s="282">
        <v>-6.5052000000000013E-2</v>
      </c>
      <c r="AH295" s="282">
        <v>-3.6094000000000015E-2</v>
      </c>
      <c r="AI295" s="282">
        <v>-5.6106000000000017E-2</v>
      </c>
      <c r="AJ295" s="282">
        <v>-3.1139000000000017E-2</v>
      </c>
      <c r="AK295" s="282">
        <v>-2.4667000000000022E-2</v>
      </c>
      <c r="AL295" s="282">
        <v>-1.7685000000000013E-2</v>
      </c>
      <c r="AM295" s="282">
        <v>2.272261904761905E-3</v>
      </c>
      <c r="AN295" s="282">
        <v>1.2428988095238101E-3</v>
      </c>
      <c r="AO295" s="282">
        <v>3.3398571428571431E-3</v>
      </c>
      <c r="AP295" s="282">
        <v>2.8001190476190422E-4</v>
      </c>
      <c r="AQ295" s="282">
        <v>3.2109880952380949E-3</v>
      </c>
      <c r="AR295" s="282">
        <v>5.8707738095238127E-4</v>
      </c>
      <c r="AS295" s="282">
        <v>-1.301607142857146E-4</v>
      </c>
      <c r="AT295" s="282">
        <v>3.9876785714285708E-4</v>
      </c>
      <c r="AU295" s="282">
        <v>2.3705535714285712E-3</v>
      </c>
      <c r="AV295" s="282">
        <f t="shared" ca="1" si="15"/>
        <v>1.8361607142857149E-3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2577198</v>
      </c>
      <c r="G297" s="126">
        <f t="shared" si="17"/>
        <v>2566764</v>
      </c>
      <c r="H297" s="126">
        <f t="shared" si="17"/>
        <v>2564211</v>
      </c>
      <c r="I297" s="126">
        <f t="shared" si="17"/>
        <v>2554332</v>
      </c>
      <c r="J297" s="126">
        <f t="shared" si="17"/>
        <v>2554332</v>
      </c>
      <c r="K297" s="126">
        <f t="shared" si="17"/>
        <v>2508711</v>
      </c>
      <c r="L297" s="126">
        <f t="shared" si="17"/>
        <v>2521476</v>
      </c>
      <c r="M297" s="126">
        <f t="shared" si="17"/>
        <v>2545341</v>
      </c>
      <c r="N297" s="126">
        <f t="shared" si="17"/>
        <v>2558439</v>
      </c>
      <c r="O297" s="126">
        <f t="shared" si="17"/>
        <v>2568538.89</v>
      </c>
      <c r="P297" s="126">
        <f t="shared" si="17"/>
        <v>2576754</v>
      </c>
      <c r="Q297" s="126">
        <f t="shared" si="17"/>
        <v>2526135.7800000003</v>
      </c>
      <c r="R297" s="126">
        <f t="shared" si="17"/>
        <v>2621768.94</v>
      </c>
      <c r="S297" s="126">
        <f t="shared" si="17"/>
        <v>2647017</v>
      </c>
      <c r="T297" s="126">
        <f t="shared" si="17"/>
        <v>2661558</v>
      </c>
      <c r="U297" s="126">
        <f t="shared" si="17"/>
        <v>2640468</v>
      </c>
      <c r="V297" s="126">
        <f t="shared" si="17"/>
        <v>2601285</v>
      </c>
      <c r="W297" s="126">
        <f t="shared" si="17"/>
        <v>2517369</v>
      </c>
      <c r="X297" s="126">
        <f t="shared" si="17"/>
        <v>2557495.5</v>
      </c>
      <c r="Y297" s="126">
        <f t="shared" si="17"/>
        <v>2598177</v>
      </c>
      <c r="Z297" s="126">
        <f ca="1">11100*Z203</f>
        <v>2598177</v>
      </c>
      <c r="AX297" s="97">
        <f t="shared" si="14"/>
        <v>0</v>
      </c>
    </row>
    <row r="298" spans="1:50" x14ac:dyDescent="0.3">
      <c r="G298" s="126">
        <f t="shared" ref="G298:Y298" si="18">G297-F297</f>
        <v>-10434</v>
      </c>
      <c r="H298" s="126">
        <f t="shared" si="18"/>
        <v>-2553</v>
      </c>
      <c r="I298" s="126">
        <f t="shared" si="18"/>
        <v>-9879</v>
      </c>
      <c r="J298" s="126">
        <f t="shared" si="18"/>
        <v>0</v>
      </c>
      <c r="K298" s="126">
        <f t="shared" si="18"/>
        <v>-45621</v>
      </c>
      <c r="L298" s="126">
        <f t="shared" si="18"/>
        <v>12765</v>
      </c>
      <c r="M298" s="126">
        <f t="shared" si="18"/>
        <v>23865</v>
      </c>
      <c r="N298" s="126">
        <f t="shared" si="18"/>
        <v>13098</v>
      </c>
      <c r="O298" s="126">
        <f t="shared" si="18"/>
        <v>10099.89000000013</v>
      </c>
      <c r="P298" s="126">
        <f t="shared" si="18"/>
        <v>8215.1099999998696</v>
      </c>
      <c r="Q298" s="126">
        <f t="shared" si="18"/>
        <v>-50618.219999999739</v>
      </c>
      <c r="R298" s="126">
        <f t="shared" si="18"/>
        <v>95633.159999999683</v>
      </c>
      <c r="S298" s="126">
        <f t="shared" si="18"/>
        <v>25248.060000000056</v>
      </c>
      <c r="T298" s="126">
        <f t="shared" si="18"/>
        <v>14541</v>
      </c>
      <c r="U298" s="126">
        <f t="shared" si="18"/>
        <v>-21090</v>
      </c>
      <c r="V298" s="126">
        <f t="shared" si="18"/>
        <v>-39183</v>
      </c>
      <c r="W298" s="126">
        <f t="shared" si="18"/>
        <v>-83916</v>
      </c>
      <c r="X298" s="126">
        <f t="shared" si="18"/>
        <v>40126.5</v>
      </c>
      <c r="Y298" s="126">
        <f t="shared" si="18"/>
        <v>40681.5</v>
      </c>
      <c r="Z298" s="126">
        <f ca="1">Z297-Y297</f>
        <v>0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45887</v>
      </c>
      <c r="G300" s="128">
        <f t="shared" si="19"/>
        <v>45888</v>
      </c>
      <c r="H300" s="128">
        <f t="shared" si="19"/>
        <v>45889</v>
      </c>
      <c r="I300" s="128">
        <f t="shared" si="19"/>
        <v>45890</v>
      </c>
      <c r="J300" s="128">
        <f t="shared" si="19"/>
        <v>45891</v>
      </c>
      <c r="K300" s="128">
        <f t="shared" si="19"/>
        <v>45894</v>
      </c>
      <c r="L300" s="128">
        <f t="shared" si="19"/>
        <v>45895</v>
      </c>
      <c r="M300" s="128">
        <f t="shared" si="19"/>
        <v>45896</v>
      </c>
      <c r="N300" s="128">
        <f t="shared" si="19"/>
        <v>45897</v>
      </c>
      <c r="O300" s="128">
        <f t="shared" si="19"/>
        <v>45898</v>
      </c>
      <c r="P300" s="128">
        <f t="shared" si="19"/>
        <v>45901</v>
      </c>
      <c r="Q300" s="128">
        <f t="shared" si="19"/>
        <v>45902</v>
      </c>
      <c r="R300" s="128">
        <f t="shared" si="19"/>
        <v>45903</v>
      </c>
      <c r="S300" s="128">
        <f t="shared" si="19"/>
        <v>45904</v>
      </c>
      <c r="T300" s="128">
        <f t="shared" si="19"/>
        <v>45905</v>
      </c>
      <c r="U300" s="128">
        <f t="shared" si="19"/>
        <v>45908</v>
      </c>
      <c r="V300" s="128">
        <f t="shared" si="19"/>
        <v>45909</v>
      </c>
      <c r="W300" s="128">
        <f t="shared" si="19"/>
        <v>45910</v>
      </c>
      <c r="X300" s="128">
        <f t="shared" si="19"/>
        <v>45911</v>
      </c>
      <c r="Y300" s="128">
        <f t="shared" si="19"/>
        <v>45912</v>
      </c>
      <c r="Z300" s="128">
        <f t="shared" ca="1" si="19"/>
        <v>45912</v>
      </c>
      <c r="AB300" s="128">
        <f t="shared" ref="AB300:AV300" si="20">F300</f>
        <v>45887</v>
      </c>
      <c r="AC300" s="128">
        <f t="shared" si="20"/>
        <v>45888</v>
      </c>
      <c r="AD300" s="128">
        <f t="shared" si="20"/>
        <v>45889</v>
      </c>
      <c r="AE300" s="128">
        <f t="shared" si="20"/>
        <v>45890</v>
      </c>
      <c r="AF300" s="128">
        <f t="shared" si="20"/>
        <v>45891</v>
      </c>
      <c r="AG300" s="128">
        <f t="shared" si="20"/>
        <v>45894</v>
      </c>
      <c r="AH300" s="128">
        <f t="shared" si="20"/>
        <v>45895</v>
      </c>
      <c r="AI300" s="128">
        <f t="shared" si="20"/>
        <v>45896</v>
      </c>
      <c r="AJ300" s="128">
        <f t="shared" si="20"/>
        <v>45897</v>
      </c>
      <c r="AK300" s="128">
        <f t="shared" si="20"/>
        <v>45898</v>
      </c>
      <c r="AL300" s="128">
        <f t="shared" si="20"/>
        <v>45901</v>
      </c>
      <c r="AM300" s="128">
        <f t="shared" si="20"/>
        <v>45902</v>
      </c>
      <c r="AN300" s="128">
        <f t="shared" si="20"/>
        <v>45903</v>
      </c>
      <c r="AO300" s="128">
        <f t="shared" si="20"/>
        <v>45904</v>
      </c>
      <c r="AP300" s="128">
        <f t="shared" si="20"/>
        <v>45905</v>
      </c>
      <c r="AQ300" s="128">
        <f t="shared" si="20"/>
        <v>45908</v>
      </c>
      <c r="AR300" s="128">
        <f t="shared" si="20"/>
        <v>45909</v>
      </c>
      <c r="AS300" s="128">
        <f t="shared" si="20"/>
        <v>45910</v>
      </c>
      <c r="AT300" s="128">
        <f t="shared" si="20"/>
        <v>45911</v>
      </c>
      <c r="AU300" s="128">
        <f t="shared" si="20"/>
        <v>45912</v>
      </c>
      <c r="AV300" s="128">
        <f t="shared" ca="1" si="20"/>
        <v>45912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230.85</v>
      </c>
      <c r="G302" s="263">
        <v>230.47</v>
      </c>
      <c r="H302" s="263">
        <v>230.37</v>
      </c>
      <c r="I302" s="263">
        <v>229.35</v>
      </c>
      <c r="J302" s="263">
        <v>229.35</v>
      </c>
      <c r="K302" s="263">
        <v>225.77</v>
      </c>
      <c r="L302" s="263">
        <v>226.23</v>
      </c>
      <c r="M302" s="263">
        <v>224.69</v>
      </c>
      <c r="N302" s="263">
        <v>228.26</v>
      </c>
      <c r="O302" s="263">
        <v>229.33500000000001</v>
      </c>
      <c r="P302" s="263">
        <v>231.37</v>
      </c>
      <c r="Q302" s="263">
        <v>227.32</v>
      </c>
      <c r="R302" s="263">
        <v>234.37</v>
      </c>
      <c r="S302" s="263">
        <v>234.36</v>
      </c>
      <c r="T302" s="263">
        <v>236.74</v>
      </c>
      <c r="U302" s="263">
        <v>236.34</v>
      </c>
      <c r="V302" s="263">
        <v>233.36</v>
      </c>
      <c r="W302" s="263">
        <v>225.95</v>
      </c>
      <c r="X302" s="263">
        <v>226.65</v>
      </c>
      <c r="Y302" s="263">
        <v>229.02</v>
      </c>
      <c r="Z302" s="265">
        <f ca="1">[1]ExtEntry!$I3</f>
        <v>229.02</v>
      </c>
      <c r="AB302" s="283">
        <v>-21645</v>
      </c>
      <c r="AC302" s="283">
        <v>-30414</v>
      </c>
      <c r="AD302" s="283">
        <v>-7881</v>
      </c>
      <c r="AE302" s="283">
        <v>-13098</v>
      </c>
      <c r="AF302" s="283">
        <v>-13098</v>
      </c>
      <c r="AG302" s="283">
        <v>-44067</v>
      </c>
      <c r="AH302" s="283">
        <v>7548</v>
      </c>
      <c r="AI302" s="283">
        <v>27084</v>
      </c>
      <c r="AJ302" s="283">
        <v>20868</v>
      </c>
      <c r="AK302" s="283">
        <v>6547.8900000001304</v>
      </c>
      <c r="AL302" s="283">
        <v>-4107</v>
      </c>
      <c r="AM302" s="283">
        <v>-21203.219999999739</v>
      </c>
      <c r="AN302" s="283">
        <v>-10263.060000000056</v>
      </c>
      <c r="AO302" s="283">
        <v>13986</v>
      </c>
      <c r="AP302" s="283">
        <v>14763</v>
      </c>
      <c r="AQ302" s="283">
        <v>-15762</v>
      </c>
      <c r="AR302" s="283">
        <v>-29415</v>
      </c>
      <c r="AS302" s="283">
        <v>-59884.5</v>
      </c>
      <c r="AT302" s="283">
        <v>39474</v>
      </c>
      <c r="AU302" s="283">
        <v>52380</v>
      </c>
      <c r="AV302" s="283">
        <f ca="1">Calc!AM3</f>
        <v>52380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14.75</v>
      </c>
      <c r="G303" s="271">
        <v>14.765000000000001</v>
      </c>
      <c r="H303" s="271">
        <v>14.69</v>
      </c>
      <c r="I303" s="271">
        <v>14.755000000000001</v>
      </c>
      <c r="J303" s="271">
        <v>14.755000000000001</v>
      </c>
      <c r="K303" s="271">
        <v>14.395</v>
      </c>
      <c r="L303" s="271">
        <v>15.44</v>
      </c>
      <c r="M303" s="271">
        <v>15.31</v>
      </c>
      <c r="N303" s="271">
        <v>15.275</v>
      </c>
      <c r="O303" s="271">
        <v>15.36</v>
      </c>
      <c r="P303" s="271">
        <v>14.98</v>
      </c>
      <c r="Q303" s="271">
        <v>14.76</v>
      </c>
      <c r="R303" s="271">
        <v>14.76</v>
      </c>
      <c r="S303" s="271">
        <v>14.76</v>
      </c>
      <c r="T303" s="271">
        <v>15.038</v>
      </c>
      <c r="U303" s="271">
        <v>15.32</v>
      </c>
      <c r="V303" s="271">
        <v>15.21</v>
      </c>
      <c r="W303" s="271">
        <v>15.09</v>
      </c>
      <c r="X303" s="271">
        <v>15.11</v>
      </c>
      <c r="Y303" s="271">
        <v>15.4</v>
      </c>
      <c r="Z303" s="273">
        <f ca="1">[1]ExtEntry!$I4</f>
        <v>15.4</v>
      </c>
      <c r="AB303" s="287">
        <v>-1530</v>
      </c>
      <c r="AC303" s="287">
        <v>-540</v>
      </c>
      <c r="AD303" s="287">
        <v>300</v>
      </c>
      <c r="AE303" s="287">
        <v>-2820</v>
      </c>
      <c r="AF303" s="287">
        <v>-2820</v>
      </c>
      <c r="AG303" s="287">
        <v>-1020</v>
      </c>
      <c r="AH303" s="287">
        <v>420</v>
      </c>
      <c r="AI303" s="287">
        <v>-1020</v>
      </c>
      <c r="AJ303" s="287">
        <v>1260</v>
      </c>
      <c r="AK303" s="287">
        <v>-1140</v>
      </c>
      <c r="AL303" s="287">
        <v>-2640</v>
      </c>
      <c r="AM303" s="287">
        <v>420</v>
      </c>
      <c r="AN303" s="287">
        <v>1140</v>
      </c>
      <c r="AO303" s="287">
        <v>3000</v>
      </c>
      <c r="AP303" s="287">
        <v>1200</v>
      </c>
      <c r="AQ303" s="287">
        <v>-1020</v>
      </c>
      <c r="AR303" s="287">
        <v>-120</v>
      </c>
      <c r="AS303" s="287">
        <v>-1440</v>
      </c>
      <c r="AT303" s="287">
        <v>2520</v>
      </c>
      <c r="AU303" s="287">
        <v>-180</v>
      </c>
      <c r="AV303" s="283">
        <f ca="1">Calc!AM4</f>
        <v>-180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46</v>
      </c>
      <c r="G304" s="263">
        <v>45.8</v>
      </c>
      <c r="H304" s="263">
        <v>45.8</v>
      </c>
      <c r="I304" s="263">
        <v>45.9</v>
      </c>
      <c r="J304" s="263">
        <v>45.9</v>
      </c>
      <c r="K304" s="263">
        <v>45.6</v>
      </c>
      <c r="L304" s="263">
        <v>48.3</v>
      </c>
      <c r="M304" s="263">
        <v>48.5</v>
      </c>
      <c r="N304" s="263">
        <v>48.4</v>
      </c>
      <c r="O304" s="263">
        <v>48.5</v>
      </c>
      <c r="P304" s="263">
        <v>50.2</v>
      </c>
      <c r="Q304" s="263">
        <v>49.9</v>
      </c>
      <c r="R304" s="263">
        <v>51</v>
      </c>
      <c r="S304" s="263">
        <v>51</v>
      </c>
      <c r="T304" s="263">
        <v>54</v>
      </c>
      <c r="U304" s="263">
        <v>54</v>
      </c>
      <c r="V304" s="263">
        <v>52.8</v>
      </c>
      <c r="W304" s="263">
        <v>51.6</v>
      </c>
      <c r="X304" s="263">
        <v>51</v>
      </c>
      <c r="Y304" s="263">
        <v>49.6</v>
      </c>
      <c r="Z304" s="265">
        <f ca="1">[1]ExtEntry!$I5</f>
        <v>49.6</v>
      </c>
      <c r="AB304" s="283">
        <v>-10920</v>
      </c>
      <c r="AC304" s="283">
        <v>-6474</v>
      </c>
      <c r="AD304" s="283">
        <v>3120</v>
      </c>
      <c r="AE304" s="283">
        <v>-14820</v>
      </c>
      <c r="AF304" s="283">
        <v>-14820</v>
      </c>
      <c r="AG304" s="283">
        <v>1560</v>
      </c>
      <c r="AH304" s="283">
        <v>3120</v>
      </c>
      <c r="AI304" s="283">
        <v>3900</v>
      </c>
      <c r="AJ304" s="283">
        <v>-9360</v>
      </c>
      <c r="AK304" s="283">
        <v>-993.71999999997206</v>
      </c>
      <c r="AL304" s="283">
        <v>7054.320000000007</v>
      </c>
      <c r="AM304" s="283">
        <v>12480</v>
      </c>
      <c r="AN304" s="283">
        <v>-4680</v>
      </c>
      <c r="AO304" s="283">
        <v>-10920</v>
      </c>
      <c r="AP304" s="283">
        <v>-3120</v>
      </c>
      <c r="AQ304" s="283">
        <v>0</v>
      </c>
      <c r="AR304" s="283">
        <v>-6240</v>
      </c>
      <c r="AS304" s="283">
        <v>-18720</v>
      </c>
      <c r="AT304" s="283">
        <v>-9360</v>
      </c>
      <c r="AU304" s="283">
        <v>14040</v>
      </c>
      <c r="AV304" s="283">
        <f ca="1">Calc!AM5</f>
        <v>14040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227.02</v>
      </c>
      <c r="G305" s="271">
        <v>231.21</v>
      </c>
      <c r="H305" s="271">
        <v>228.33</v>
      </c>
      <c r="I305" s="271">
        <v>227.12</v>
      </c>
      <c r="J305" s="271">
        <v>227.12</v>
      </c>
      <c r="K305" s="271">
        <v>220.91499999999999</v>
      </c>
      <c r="L305" s="271">
        <v>227.31</v>
      </c>
      <c r="M305" s="271">
        <v>226.02</v>
      </c>
      <c r="N305" s="271">
        <v>227.81</v>
      </c>
      <c r="O305" s="271">
        <v>228.02</v>
      </c>
      <c r="P305" s="271">
        <v>228.16</v>
      </c>
      <c r="Q305" s="271">
        <v>222.17</v>
      </c>
      <c r="R305" s="271">
        <v>224.9</v>
      </c>
      <c r="S305" s="271">
        <v>224.36</v>
      </c>
      <c r="T305" s="271">
        <v>230.78</v>
      </c>
      <c r="U305" s="271">
        <v>233.75</v>
      </c>
      <c r="V305" s="271">
        <v>235.08</v>
      </c>
      <c r="W305" s="271">
        <v>229.09620000000001</v>
      </c>
      <c r="X305" s="271">
        <v>229.33770000000001</v>
      </c>
      <c r="Y305" s="271">
        <v>226.29</v>
      </c>
      <c r="Z305" s="273">
        <f ca="1">[1]ExtEntry!$I6</f>
        <v>226.29</v>
      </c>
      <c r="AB305" s="287">
        <v>45667.040000000037</v>
      </c>
      <c r="AC305" s="287">
        <v>-11224</v>
      </c>
      <c r="AD305" s="287">
        <v>976</v>
      </c>
      <c r="AE305" s="287">
        <v>-30744</v>
      </c>
      <c r="AF305" s="287">
        <v>-30744</v>
      </c>
      <c r="AG305" s="287">
        <v>-40382</v>
      </c>
      <c r="AH305" s="287">
        <v>7198</v>
      </c>
      <c r="AI305" s="287">
        <v>19520</v>
      </c>
      <c r="AJ305" s="287">
        <v>6710</v>
      </c>
      <c r="AK305" s="287">
        <v>40224.620000000112</v>
      </c>
      <c r="AL305" s="287">
        <v>-28304</v>
      </c>
      <c r="AM305" s="287">
        <v>-13628.620000000112</v>
      </c>
      <c r="AN305" s="287">
        <v>9028</v>
      </c>
      <c r="AO305" s="287">
        <v>9516</v>
      </c>
      <c r="AP305" s="287">
        <v>54839</v>
      </c>
      <c r="AQ305" s="287">
        <v>10980</v>
      </c>
      <c r="AR305" s="287">
        <v>22997</v>
      </c>
      <c r="AS305" s="287">
        <v>-87657</v>
      </c>
      <c r="AT305" s="287">
        <v>-14091</v>
      </c>
      <c r="AU305" s="287">
        <v>-26840</v>
      </c>
      <c r="AV305" s="283">
        <f ca="1">Calc!AM6</f>
        <v>-26840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0.95799999999999996</v>
      </c>
      <c r="G306" s="263">
        <v>0.94</v>
      </c>
      <c r="H306" s="263">
        <v>0.94199999999999995</v>
      </c>
      <c r="I306" s="263">
        <v>0.91200000000000003</v>
      </c>
      <c r="J306" s="263">
        <v>0.91200000000000003</v>
      </c>
      <c r="K306" s="263">
        <v>0.92200000000000004</v>
      </c>
      <c r="L306" s="263">
        <v>0.91800000000000004</v>
      </c>
      <c r="M306" s="263">
        <v>0.91</v>
      </c>
      <c r="N306" s="263">
        <v>0.89200000000000002</v>
      </c>
      <c r="O306" s="263">
        <v>0.9</v>
      </c>
      <c r="P306" s="263">
        <v>0.91</v>
      </c>
      <c r="Q306" s="263">
        <v>0.9</v>
      </c>
      <c r="R306" s="263">
        <v>0.9</v>
      </c>
      <c r="S306" s="263">
        <v>0.9</v>
      </c>
      <c r="T306" s="263">
        <v>0.89200000000000002</v>
      </c>
      <c r="U306" s="263">
        <v>0.89</v>
      </c>
      <c r="V306" s="263">
        <v>0.88</v>
      </c>
      <c r="W306" s="263">
        <v>0.84399999999999997</v>
      </c>
      <c r="X306" s="263">
        <v>0.86199999999999999</v>
      </c>
      <c r="Y306" s="263">
        <v>0.88800000000000001</v>
      </c>
      <c r="Z306" s="265">
        <f ca="1">[1]ExtEntry!$I7</f>
        <v>0.88800000000000001</v>
      </c>
      <c r="AB306" s="283">
        <v>5060</v>
      </c>
      <c r="AC306" s="283">
        <v>-50600</v>
      </c>
      <c r="AD306" s="283">
        <v>0</v>
      </c>
      <c r="AE306" s="283">
        <v>-25300</v>
      </c>
      <c r="AF306" s="283">
        <v>-25300</v>
      </c>
      <c r="AG306" s="283">
        <v>5060</v>
      </c>
      <c r="AH306" s="283">
        <v>-30360</v>
      </c>
      <c r="AI306" s="283">
        <v>0</v>
      </c>
      <c r="AJ306" s="283">
        <v>20240</v>
      </c>
      <c r="AK306" s="283">
        <v>0</v>
      </c>
      <c r="AL306" s="283">
        <v>-70840</v>
      </c>
      <c r="AM306" s="283">
        <v>-25300</v>
      </c>
      <c r="AN306" s="283">
        <v>45540</v>
      </c>
      <c r="AO306" s="283">
        <v>-45540</v>
      </c>
      <c r="AP306" s="283">
        <v>0</v>
      </c>
      <c r="AQ306" s="283">
        <v>-25300</v>
      </c>
      <c r="AR306" s="283">
        <v>30360</v>
      </c>
      <c r="AS306" s="283">
        <v>-5060</v>
      </c>
      <c r="AT306" s="283">
        <v>65780</v>
      </c>
      <c r="AU306" s="283">
        <v>5060</v>
      </c>
      <c r="AV306" s="283">
        <f ca="1">Calc!AM7</f>
        <v>5060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639.1</v>
      </c>
      <c r="G307" s="271">
        <v>628.79999999999995</v>
      </c>
      <c r="H307" s="271">
        <v>629.79999999999995</v>
      </c>
      <c r="I307" s="271">
        <v>640.70000000000005</v>
      </c>
      <c r="J307" s="271">
        <v>640.70000000000005</v>
      </c>
      <c r="K307" s="271">
        <v>633.29999999999995</v>
      </c>
      <c r="L307" s="271">
        <v>641.1</v>
      </c>
      <c r="M307" s="271">
        <v>647.29999999999995</v>
      </c>
      <c r="N307" s="271">
        <v>650.1</v>
      </c>
      <c r="O307" s="271">
        <v>652</v>
      </c>
      <c r="P307" s="271">
        <v>626</v>
      </c>
      <c r="Q307" s="271">
        <v>611.79999999999995</v>
      </c>
      <c r="R307" s="271">
        <v>626.5</v>
      </c>
      <c r="S307" s="271">
        <v>628.1</v>
      </c>
      <c r="T307" s="271">
        <v>656.1</v>
      </c>
      <c r="U307" s="271">
        <v>664.1</v>
      </c>
      <c r="V307" s="271">
        <v>674</v>
      </c>
      <c r="W307" s="271">
        <v>679.2</v>
      </c>
      <c r="X307" s="271">
        <v>674.1</v>
      </c>
      <c r="Y307" s="271">
        <v>681.5</v>
      </c>
      <c r="Z307" s="273">
        <f ca="1">[1]ExtEntry!$I8</f>
        <v>681.5</v>
      </c>
      <c r="AB307" s="287">
        <v>-20399.999999999534</v>
      </c>
      <c r="AC307" s="287">
        <v>12000</v>
      </c>
      <c r="AD307" s="287">
        <v>8399.9999999995343</v>
      </c>
      <c r="AE307" s="287">
        <v>1799.9999999995343</v>
      </c>
      <c r="AF307" s="287">
        <v>1799.9999999995343</v>
      </c>
      <c r="AG307" s="287">
        <v>-2399.9999999995343</v>
      </c>
      <c r="AH307" s="287">
        <v>-4000</v>
      </c>
      <c r="AI307" s="287">
        <v>8000</v>
      </c>
      <c r="AJ307" s="287">
        <v>38500</v>
      </c>
      <c r="AK307" s="287">
        <v>-28000</v>
      </c>
      <c r="AL307" s="287">
        <v>46000</v>
      </c>
      <c r="AM307" s="287">
        <v>-71500</v>
      </c>
      <c r="AN307" s="287">
        <v>-2200</v>
      </c>
      <c r="AO307" s="287">
        <v>24750</v>
      </c>
      <c r="AP307" s="287">
        <v>13750</v>
      </c>
      <c r="AQ307" s="287">
        <v>49819.999999999534</v>
      </c>
      <c r="AR307" s="287">
        <v>16960.000000000466</v>
      </c>
      <c r="AS307" s="287">
        <v>-58300</v>
      </c>
      <c r="AT307" s="287">
        <v>30739.999999999534</v>
      </c>
      <c r="AU307" s="287">
        <v>9539.9999999995343</v>
      </c>
      <c r="AV307" s="283">
        <f ca="1">Calc!AM8</f>
        <v>9539.9999999995343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77.754999999999995</v>
      </c>
      <c r="G308" s="271">
        <v>78.3005</v>
      </c>
      <c r="H308" s="271">
        <v>79.27</v>
      </c>
      <c r="I308" s="271">
        <v>79.22</v>
      </c>
      <c r="J308" s="271">
        <v>79.22</v>
      </c>
      <c r="K308" s="271">
        <v>80.180000000000007</v>
      </c>
      <c r="L308" s="271">
        <v>79.489999999999995</v>
      </c>
      <c r="M308" s="271">
        <v>79.38</v>
      </c>
      <c r="N308" s="271">
        <v>79.465000000000003</v>
      </c>
      <c r="O308" s="271">
        <v>79.349999999999994</v>
      </c>
      <c r="P308" s="271">
        <v>79.37</v>
      </c>
      <c r="Q308" s="271">
        <v>79.52</v>
      </c>
      <c r="R308" s="271">
        <v>80.92</v>
      </c>
      <c r="S308" s="271">
        <v>80.91</v>
      </c>
      <c r="T308" s="271">
        <v>81.48</v>
      </c>
      <c r="U308" s="271">
        <v>80.180000000000007</v>
      </c>
      <c r="V308" s="271">
        <v>80.739999999999995</v>
      </c>
      <c r="W308" s="271">
        <v>80.575000000000003</v>
      </c>
      <c r="X308" s="271">
        <v>80.680000000000007</v>
      </c>
      <c r="Y308" s="271">
        <v>79.08</v>
      </c>
      <c r="Z308" s="273">
        <f ca="1">[1]ExtEntry!$I9</f>
        <v>79.08</v>
      </c>
      <c r="AB308" s="283">
        <v>1140</v>
      </c>
      <c r="AC308" s="283">
        <v>495.0000000000291</v>
      </c>
      <c r="AD308" s="283">
        <v>-71.100000000034925</v>
      </c>
      <c r="AE308" s="283">
        <v>240</v>
      </c>
      <c r="AF308" s="283">
        <v>240</v>
      </c>
      <c r="AG308" s="283">
        <v>320</v>
      </c>
      <c r="AH308" s="283">
        <v>-1860</v>
      </c>
      <c r="AI308" s="283">
        <v>-520</v>
      </c>
      <c r="AJ308" s="283">
        <v>-125</v>
      </c>
      <c r="AK308" s="283">
        <v>-320</v>
      </c>
      <c r="AL308" s="283">
        <v>310</v>
      </c>
      <c r="AM308" s="283">
        <v>-350</v>
      </c>
      <c r="AN308" s="283">
        <v>660</v>
      </c>
      <c r="AO308" s="283">
        <v>1160</v>
      </c>
      <c r="AP308" s="283">
        <v>-100</v>
      </c>
      <c r="AQ308" s="283">
        <v>830</v>
      </c>
      <c r="AR308" s="283">
        <v>215</v>
      </c>
      <c r="AS308" s="283">
        <v>-100</v>
      </c>
      <c r="AT308" s="283">
        <v>345</v>
      </c>
      <c r="AU308" s="283">
        <v>-1260</v>
      </c>
      <c r="AV308" s="283">
        <f ca="1">Calc!AM9</f>
        <v>-1260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1.77</v>
      </c>
      <c r="G309" s="271">
        <v>1.8101</v>
      </c>
      <c r="H309" s="271">
        <v>1.91</v>
      </c>
      <c r="I309" s="271">
        <v>1.93</v>
      </c>
      <c r="J309" s="271">
        <v>1.93</v>
      </c>
      <c r="K309" s="271">
        <v>1.87</v>
      </c>
      <c r="L309" s="271">
        <v>1.9709000000000001</v>
      </c>
      <c r="M309" s="271">
        <v>2.0099999999999998</v>
      </c>
      <c r="N309" s="271">
        <v>1.99</v>
      </c>
      <c r="O309" s="271">
        <v>2.0099999999999998</v>
      </c>
      <c r="P309" s="271">
        <v>1.97</v>
      </c>
      <c r="Q309" s="271">
        <v>1.87</v>
      </c>
      <c r="R309" s="271">
        <v>1.8634999999999999</v>
      </c>
      <c r="S309" s="271">
        <v>1.8634999999999999</v>
      </c>
      <c r="T309" s="271">
        <v>1.83</v>
      </c>
      <c r="U309" s="271">
        <v>1.92</v>
      </c>
      <c r="V309" s="271">
        <v>1.8517999999999999</v>
      </c>
      <c r="W309" s="271">
        <v>1.89</v>
      </c>
      <c r="X309" s="271">
        <v>1.92</v>
      </c>
      <c r="Y309" s="271">
        <v>1.9750000000000001</v>
      </c>
      <c r="Z309" s="273">
        <f ca="1">[1]ExtEntry!$I10</f>
        <v>1.9750000000000001</v>
      </c>
      <c r="AB309" s="287">
        <v>-390</v>
      </c>
      <c r="AC309" s="287">
        <v>1541.7999999999956</v>
      </c>
      <c r="AD309" s="287">
        <v>-1039.9999999999927</v>
      </c>
      <c r="AE309" s="287">
        <v>-1689.9999999999927</v>
      </c>
      <c r="AF309" s="287">
        <v>-1689.9999999999927</v>
      </c>
      <c r="AG309" s="287">
        <v>-520</v>
      </c>
      <c r="AH309" s="287">
        <v>649.99999999999272</v>
      </c>
      <c r="AI309" s="287">
        <v>780.00000000000728</v>
      </c>
      <c r="AJ309" s="287">
        <v>-779.99999999999272</v>
      </c>
      <c r="AK309" s="287">
        <v>746.20000000000437</v>
      </c>
      <c r="AL309" s="287">
        <v>910</v>
      </c>
      <c r="AM309" s="287">
        <v>-520</v>
      </c>
      <c r="AN309" s="287">
        <v>777.40000000000146</v>
      </c>
      <c r="AO309" s="287">
        <v>520</v>
      </c>
      <c r="AP309" s="287">
        <v>-2340</v>
      </c>
      <c r="AQ309" s="287">
        <v>-2600</v>
      </c>
      <c r="AR309" s="287">
        <v>-1300</v>
      </c>
      <c r="AS309" s="287">
        <v>1040</v>
      </c>
      <c r="AT309" s="287">
        <v>2730.0000000000073</v>
      </c>
      <c r="AU309" s="287">
        <v>1299.9999999999927</v>
      </c>
      <c r="AV309" s="283">
        <f ca="1">Calc!AM10</f>
        <v>1299.9999999999927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3.55</v>
      </c>
      <c r="G310" s="271">
        <v>2.82</v>
      </c>
      <c r="H310" s="271">
        <v>3.0110999999999999</v>
      </c>
      <c r="I310" s="271">
        <v>2.8</v>
      </c>
      <c r="J310" s="271">
        <v>2.8</v>
      </c>
      <c r="K310" s="271">
        <v>2.87</v>
      </c>
      <c r="L310" s="271">
        <v>3.2134</v>
      </c>
      <c r="M310" s="271">
        <v>3.21</v>
      </c>
      <c r="N310" s="271">
        <v>3.1200999999999999</v>
      </c>
      <c r="O310" s="271">
        <v>3.0586000000000002</v>
      </c>
      <c r="P310" s="271">
        <v>3.05</v>
      </c>
      <c r="Q310" s="271">
        <v>2.9300999999999999</v>
      </c>
      <c r="R310" s="271">
        <v>2.65</v>
      </c>
      <c r="S310" s="271">
        <v>2.65</v>
      </c>
      <c r="T310" s="271">
        <v>2.7101000000000002</v>
      </c>
      <c r="U310" s="271">
        <v>2.75</v>
      </c>
      <c r="V310" s="271">
        <v>2.74</v>
      </c>
      <c r="W310" s="271">
        <v>2.8201000000000001</v>
      </c>
      <c r="X310" s="271">
        <v>2.9005000000000001</v>
      </c>
      <c r="Y310" s="271">
        <v>2.9512</v>
      </c>
      <c r="Z310" s="273">
        <f ca="1">[1]ExtEntry!$I11</f>
        <v>2.9512</v>
      </c>
      <c r="AB310" s="283">
        <v>-6750.0000000000073</v>
      </c>
      <c r="AC310" s="283">
        <v>500</v>
      </c>
      <c r="AD310" s="283">
        <v>0</v>
      </c>
      <c r="AE310" s="283">
        <v>0</v>
      </c>
      <c r="AF310" s="283">
        <v>0</v>
      </c>
      <c r="AG310" s="283">
        <v>1125</v>
      </c>
      <c r="AH310" s="283">
        <v>375</v>
      </c>
      <c r="AI310" s="283">
        <v>625</v>
      </c>
      <c r="AJ310" s="283">
        <v>-1125</v>
      </c>
      <c r="AK310" s="283">
        <v>1375</v>
      </c>
      <c r="AL310" s="283">
        <v>250</v>
      </c>
      <c r="AM310" s="283">
        <v>250</v>
      </c>
      <c r="AN310" s="283">
        <v>-3875</v>
      </c>
      <c r="AO310" s="283">
        <v>-4250</v>
      </c>
      <c r="AP310" s="283">
        <v>-250</v>
      </c>
      <c r="AQ310" s="283">
        <v>1750</v>
      </c>
      <c r="AR310" s="283">
        <v>2125</v>
      </c>
      <c r="AS310" s="283">
        <v>-125</v>
      </c>
      <c r="AT310" s="283">
        <v>-125</v>
      </c>
      <c r="AU310" s="283">
        <v>-250</v>
      </c>
      <c r="AV310" s="283">
        <f ca="1">Calc!AM11</f>
        <v>-250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94.23</v>
      </c>
      <c r="G311" s="271">
        <v>93.8643</v>
      </c>
      <c r="H311" s="271">
        <v>93.33</v>
      </c>
      <c r="I311" s="271">
        <v>93.48</v>
      </c>
      <c r="J311" s="271">
        <v>93.48</v>
      </c>
      <c r="K311" s="271">
        <v>90.68</v>
      </c>
      <c r="L311" s="271">
        <v>94.88</v>
      </c>
      <c r="M311" s="271">
        <v>94.03</v>
      </c>
      <c r="N311" s="271">
        <v>95.09</v>
      </c>
      <c r="O311" s="271">
        <v>96.864999999999995</v>
      </c>
      <c r="P311" s="271">
        <v>96.045000000000002</v>
      </c>
      <c r="Q311" s="271">
        <v>92.96</v>
      </c>
      <c r="R311" s="271">
        <v>94.57</v>
      </c>
      <c r="S311" s="271">
        <v>93.4</v>
      </c>
      <c r="T311" s="271">
        <v>95.3</v>
      </c>
      <c r="U311" s="271">
        <v>94.64</v>
      </c>
      <c r="V311" s="271">
        <v>95.45</v>
      </c>
      <c r="W311" s="271">
        <v>96.51</v>
      </c>
      <c r="X311" s="271">
        <v>96.89</v>
      </c>
      <c r="Y311" s="271">
        <v>98.44</v>
      </c>
      <c r="Z311" s="273">
        <f ca="1">[1]ExtEntry!$I12</f>
        <v>98.44</v>
      </c>
      <c r="AB311" s="287">
        <v>-16.5</v>
      </c>
      <c r="AC311" s="287">
        <v>-128</v>
      </c>
      <c r="AD311" s="287">
        <v>49.5</v>
      </c>
      <c r="AE311" s="287">
        <v>-44.5</v>
      </c>
      <c r="AF311" s="287">
        <v>-44.5</v>
      </c>
      <c r="AG311" s="287">
        <v>-39.5</v>
      </c>
      <c r="AH311" s="287">
        <v>-26.5</v>
      </c>
      <c r="AI311" s="287">
        <v>105</v>
      </c>
      <c r="AJ311" s="287">
        <v>175</v>
      </c>
      <c r="AK311" s="287">
        <v>-36</v>
      </c>
      <c r="AL311" s="287">
        <v>-8</v>
      </c>
      <c r="AM311" s="287">
        <v>-134.5</v>
      </c>
      <c r="AN311" s="287">
        <v>-1</v>
      </c>
      <c r="AO311" s="287">
        <v>14</v>
      </c>
      <c r="AP311" s="287">
        <v>178</v>
      </c>
      <c r="AQ311" s="287">
        <v>5</v>
      </c>
      <c r="AR311" s="287">
        <v>182</v>
      </c>
      <c r="AS311" s="287">
        <v>-1.5749999999999886</v>
      </c>
      <c r="AT311" s="287">
        <v>7.3499999999999659</v>
      </c>
      <c r="AU311" s="287">
        <v>3.5000000000000568</v>
      </c>
      <c r="AV311" s="283">
        <f ca="1">Calc!AM12</f>
        <v>3.5000000000000568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67.48</v>
      </c>
      <c r="G312" s="271">
        <v>66.814999999999998</v>
      </c>
      <c r="H312" s="271">
        <v>65.75</v>
      </c>
      <c r="I312" s="271">
        <v>66.480199999999996</v>
      </c>
      <c r="J312" s="271">
        <v>66.480199999999996</v>
      </c>
      <c r="K312" s="271">
        <v>66.534999999999997</v>
      </c>
      <c r="L312" s="271">
        <v>67.11</v>
      </c>
      <c r="M312" s="271">
        <v>67.11</v>
      </c>
      <c r="N312" s="271">
        <v>68.150000000000006</v>
      </c>
      <c r="O312" s="271">
        <v>68.36</v>
      </c>
      <c r="P312" s="271">
        <v>68.834999999999994</v>
      </c>
      <c r="Q312" s="271">
        <v>67.38</v>
      </c>
      <c r="R312" s="271">
        <v>67.400000000000006</v>
      </c>
      <c r="S312" s="271">
        <v>67.33</v>
      </c>
      <c r="T312" s="271">
        <v>67.41</v>
      </c>
      <c r="U312" s="271">
        <v>66.349999999999994</v>
      </c>
      <c r="V312" s="271">
        <v>66.64</v>
      </c>
      <c r="W312" s="271">
        <v>67.12</v>
      </c>
      <c r="X312" s="271">
        <v>67.504999999999995</v>
      </c>
      <c r="Y312" s="271">
        <v>66.13</v>
      </c>
      <c r="Z312" s="273">
        <f ca="1">[1]ExtEntry!$I13</f>
        <v>66.13</v>
      </c>
      <c r="AB312" s="283">
        <v>1485</v>
      </c>
      <c r="AC312" s="283">
        <v>-1559</v>
      </c>
      <c r="AD312" s="283">
        <v>460</v>
      </c>
      <c r="AE312" s="283">
        <v>177.79999999998836</v>
      </c>
      <c r="AF312" s="283">
        <v>177.79999999998836</v>
      </c>
      <c r="AG312" s="283">
        <v>290</v>
      </c>
      <c r="AH312" s="283">
        <v>-140</v>
      </c>
      <c r="AI312" s="283">
        <v>1225</v>
      </c>
      <c r="AJ312" s="283">
        <v>120</v>
      </c>
      <c r="AK312" s="283">
        <v>335</v>
      </c>
      <c r="AL312" s="283">
        <v>-20</v>
      </c>
      <c r="AM312" s="283">
        <v>-260</v>
      </c>
      <c r="AN312" s="283">
        <v>-535</v>
      </c>
      <c r="AO312" s="283">
        <v>-375</v>
      </c>
      <c r="AP312" s="283">
        <v>-110</v>
      </c>
      <c r="AQ312" s="283">
        <v>160</v>
      </c>
      <c r="AR312" s="283">
        <v>600</v>
      </c>
      <c r="AS312" s="283">
        <v>541</v>
      </c>
      <c r="AT312" s="283">
        <v>-475</v>
      </c>
      <c r="AU312" s="283">
        <v>-350</v>
      </c>
      <c r="AV312" s="283">
        <f ca="1">Calc!AM13</f>
        <v>-350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66.239999999999995</v>
      </c>
      <c r="G313" s="271">
        <v>67.422300000000007</v>
      </c>
      <c r="H313" s="271">
        <v>69.41</v>
      </c>
      <c r="I313" s="271">
        <v>69.807699999999997</v>
      </c>
      <c r="J313" s="271">
        <v>69.807699999999997</v>
      </c>
      <c r="K313" s="271">
        <v>70.652799999999999</v>
      </c>
      <c r="L313" s="271">
        <v>70.396000000000001</v>
      </c>
      <c r="M313" s="271">
        <v>71.06</v>
      </c>
      <c r="N313" s="271">
        <v>71.5702</v>
      </c>
      <c r="O313" s="271">
        <v>71.114199999999997</v>
      </c>
      <c r="P313" s="271">
        <v>72.16</v>
      </c>
      <c r="Q313" s="271">
        <v>72.88</v>
      </c>
      <c r="R313" s="271">
        <v>73.217500000000001</v>
      </c>
      <c r="S313" s="271">
        <v>72.864999999999995</v>
      </c>
      <c r="T313" s="271">
        <v>72.91</v>
      </c>
      <c r="U313" s="271">
        <v>69.599999999999994</v>
      </c>
      <c r="V313" s="271">
        <v>70.72</v>
      </c>
      <c r="W313" s="271">
        <v>71.959999999999994</v>
      </c>
      <c r="X313" s="271">
        <v>73.28</v>
      </c>
      <c r="Y313" s="271">
        <v>74.415000000000006</v>
      </c>
      <c r="Z313" s="273">
        <f ca="1">[1]ExtEntry!$I14</f>
        <v>74.415000000000006</v>
      </c>
      <c r="AB313" s="287">
        <v>-37.5</v>
      </c>
      <c r="AC313" s="287">
        <v>120</v>
      </c>
      <c r="AD313" s="287">
        <v>120</v>
      </c>
      <c r="AE313" s="287">
        <v>202.5</v>
      </c>
      <c r="AF313" s="287">
        <v>202.5</v>
      </c>
      <c r="AG313" s="287">
        <v>-47.5</v>
      </c>
      <c r="AH313" s="287">
        <v>-33.75</v>
      </c>
      <c r="AI313" s="287">
        <v>75</v>
      </c>
      <c r="AJ313" s="287">
        <v>70</v>
      </c>
      <c r="AK313" s="287">
        <v>-45</v>
      </c>
      <c r="AL313" s="287">
        <v>227.5</v>
      </c>
      <c r="AM313" s="287">
        <v>277.5</v>
      </c>
      <c r="AN313" s="287">
        <v>-158.75</v>
      </c>
      <c r="AO313" s="287">
        <v>-192.5</v>
      </c>
      <c r="AP313" s="287">
        <v>67.5</v>
      </c>
      <c r="AQ313" s="287">
        <v>-892.5</v>
      </c>
      <c r="AR313" s="287">
        <v>45</v>
      </c>
      <c r="AS313" s="287">
        <v>477.5</v>
      </c>
      <c r="AT313" s="287">
        <v>123.75</v>
      </c>
      <c r="AU313" s="287">
        <v>142.5</v>
      </c>
      <c r="AV313" s="283">
        <f ca="1">Calc!AM14</f>
        <v>142.5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2.0299999999999998</v>
      </c>
      <c r="G314" s="271">
        <v>2.06</v>
      </c>
      <c r="H314" s="271">
        <v>1.96</v>
      </c>
      <c r="I314" s="271">
        <v>1.95</v>
      </c>
      <c r="J314" s="271">
        <v>1.95</v>
      </c>
      <c r="K314" s="271">
        <v>1.8936999999999999</v>
      </c>
      <c r="L314" s="271">
        <v>2.0299999999999998</v>
      </c>
      <c r="M314" s="271">
        <v>2.12</v>
      </c>
      <c r="N314" s="271">
        <v>2.2200000000000002</v>
      </c>
      <c r="O314" s="271">
        <v>2.41</v>
      </c>
      <c r="P314" s="271">
        <v>2.2400000000000002</v>
      </c>
      <c r="Q314" s="271">
        <v>2.19</v>
      </c>
      <c r="R314" s="271">
        <v>2.12</v>
      </c>
      <c r="S314" s="271">
        <v>2.04</v>
      </c>
      <c r="T314" s="271">
        <v>1.9850000000000001</v>
      </c>
      <c r="U314" s="271">
        <v>2.0499999999999998</v>
      </c>
      <c r="V314" s="271">
        <v>2.09</v>
      </c>
      <c r="W314" s="271">
        <v>2.08</v>
      </c>
      <c r="X314" s="271">
        <v>2.11</v>
      </c>
      <c r="Y314" s="271">
        <v>2.2000000000000002</v>
      </c>
      <c r="Z314" s="273">
        <f ca="1">[1]ExtEntry!$I15</f>
        <v>2.2000000000000002</v>
      </c>
      <c r="AB314" s="283">
        <v>-19000</v>
      </c>
      <c r="AC314" s="283">
        <v>-2990</v>
      </c>
      <c r="AD314" s="283">
        <v>-2500.0000000000291</v>
      </c>
      <c r="AE314" s="283">
        <v>-8499.9999999999709</v>
      </c>
      <c r="AF314" s="283">
        <v>-8499.9999999999709</v>
      </c>
      <c r="AG314" s="283">
        <v>3000</v>
      </c>
      <c r="AH314" s="283">
        <v>8499.9999999999709</v>
      </c>
      <c r="AI314" s="283">
        <v>-3500.0000000000291</v>
      </c>
      <c r="AJ314" s="283">
        <v>33500</v>
      </c>
      <c r="AK314" s="283">
        <v>-12579.999999999971</v>
      </c>
      <c r="AL314" s="283">
        <v>-11000.000000000029</v>
      </c>
      <c r="AM314" s="283">
        <v>-5499.9999999999709</v>
      </c>
      <c r="AN314" s="283">
        <v>-4970.0000000000291</v>
      </c>
      <c r="AO314" s="283">
        <v>-13000.000000000058</v>
      </c>
      <c r="AP314" s="283">
        <v>0</v>
      </c>
      <c r="AQ314" s="283">
        <v>4000</v>
      </c>
      <c r="AR314" s="283">
        <v>-5000</v>
      </c>
      <c r="AS314" s="283">
        <v>0</v>
      </c>
      <c r="AT314" s="283">
        <v>13499.999999999971</v>
      </c>
      <c r="AU314" s="283">
        <v>-4500</v>
      </c>
      <c r="AV314" s="283">
        <f ca="1">Calc!AM15</f>
        <v>-4500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114.62</v>
      </c>
      <c r="G315" s="271">
        <v>116.04</v>
      </c>
      <c r="H315" s="271">
        <v>115.16</v>
      </c>
      <c r="I315" s="271">
        <v>115.72</v>
      </c>
      <c r="J315" s="271">
        <v>115.72</v>
      </c>
      <c r="K315" s="271">
        <v>116</v>
      </c>
      <c r="L315" s="271">
        <v>117.7</v>
      </c>
      <c r="M315" s="271">
        <v>117.16</v>
      </c>
      <c r="N315" s="271">
        <v>117.29</v>
      </c>
      <c r="O315" s="271">
        <v>116.61</v>
      </c>
      <c r="P315" s="271">
        <v>117.245</v>
      </c>
      <c r="Q315" s="271">
        <v>115.9965</v>
      </c>
      <c r="R315" s="271">
        <v>116.51</v>
      </c>
      <c r="S315" s="271">
        <v>116.35</v>
      </c>
      <c r="T315" s="271">
        <v>116.76</v>
      </c>
      <c r="U315" s="271">
        <v>116.74</v>
      </c>
      <c r="V315" s="271">
        <v>117.22</v>
      </c>
      <c r="W315" s="271">
        <v>114.495</v>
      </c>
      <c r="X315" s="271">
        <v>114.63</v>
      </c>
      <c r="Y315" s="271">
        <v>115.1</v>
      </c>
      <c r="Z315" s="273">
        <f ca="1">[1]ExtEntry!$I16</f>
        <v>115.1</v>
      </c>
      <c r="AB315" s="287">
        <v>139</v>
      </c>
      <c r="AC315" s="287">
        <v>-17</v>
      </c>
      <c r="AD315" s="287">
        <v>213</v>
      </c>
      <c r="AE315" s="287">
        <v>-85</v>
      </c>
      <c r="AF315" s="287">
        <v>-85</v>
      </c>
      <c r="AG315" s="287">
        <v>197</v>
      </c>
      <c r="AH315" s="287">
        <v>-150</v>
      </c>
      <c r="AI315" s="287">
        <v>44</v>
      </c>
      <c r="AJ315" s="287">
        <v>108</v>
      </c>
      <c r="AK315" s="287">
        <v>-238</v>
      </c>
      <c r="AL315" s="287">
        <v>198</v>
      </c>
      <c r="AM315" s="287">
        <v>-59</v>
      </c>
      <c r="AN315" s="287">
        <v>-218</v>
      </c>
      <c r="AO315" s="287">
        <v>-90</v>
      </c>
      <c r="AP315" s="287">
        <v>346</v>
      </c>
      <c r="AQ315" s="287">
        <v>176</v>
      </c>
      <c r="AR315" s="287">
        <v>-233</v>
      </c>
      <c r="AS315" s="287">
        <v>-1030</v>
      </c>
      <c r="AT315" s="287">
        <v>1315</v>
      </c>
      <c r="AU315" s="287">
        <v>-290</v>
      </c>
      <c r="AV315" s="283">
        <f ca="1">Calc!AM16</f>
        <v>-290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26.56</v>
      </c>
      <c r="G316" s="271">
        <v>26.66</v>
      </c>
      <c r="H316" s="271">
        <v>26.69</v>
      </c>
      <c r="I316" s="271">
        <v>26.69</v>
      </c>
      <c r="J316" s="271">
        <v>26.69</v>
      </c>
      <c r="K316" s="271">
        <v>26.76</v>
      </c>
      <c r="L316" s="271">
        <v>26.75</v>
      </c>
      <c r="M316" s="271">
        <v>26.36</v>
      </c>
      <c r="N316" s="271">
        <v>26.36</v>
      </c>
      <c r="O316" s="271">
        <v>26.81</v>
      </c>
      <c r="P316" s="271">
        <v>26.4</v>
      </c>
      <c r="Q316" s="271">
        <v>26.25</v>
      </c>
      <c r="R316" s="271">
        <v>26.32</v>
      </c>
      <c r="S316" s="271">
        <v>26.41</v>
      </c>
      <c r="T316" s="271">
        <v>26.67</v>
      </c>
      <c r="U316" s="271">
        <v>26.76</v>
      </c>
      <c r="V316" s="271">
        <v>27.44</v>
      </c>
      <c r="W316" s="271">
        <v>27.29</v>
      </c>
      <c r="X316" s="271">
        <v>27.22</v>
      </c>
      <c r="Y316" s="271">
        <v>27.07</v>
      </c>
      <c r="Z316" s="273">
        <f ca="1">[1]ExtEntry!$I17</f>
        <v>27.07</v>
      </c>
      <c r="AB316" s="283">
        <v>-660</v>
      </c>
      <c r="AC316" s="283">
        <v>1980</v>
      </c>
      <c r="AD316" s="283">
        <v>-1440</v>
      </c>
      <c r="AE316" s="283">
        <v>1500</v>
      </c>
      <c r="AF316" s="283">
        <v>1500</v>
      </c>
      <c r="AG316" s="283">
        <v>2940</v>
      </c>
      <c r="AH316" s="283">
        <v>-2220</v>
      </c>
      <c r="AI316" s="283">
        <v>-1500</v>
      </c>
      <c r="AJ316" s="283">
        <v>2880</v>
      </c>
      <c r="AK316" s="283">
        <v>1020</v>
      </c>
      <c r="AL316" s="283">
        <v>600</v>
      </c>
      <c r="AM316" s="283">
        <v>-1080</v>
      </c>
      <c r="AN316" s="283">
        <v>240</v>
      </c>
      <c r="AO316" s="283">
        <v>120</v>
      </c>
      <c r="AP316" s="283">
        <v>360</v>
      </c>
      <c r="AQ316" s="283">
        <v>2940</v>
      </c>
      <c r="AR316" s="283">
        <v>2340</v>
      </c>
      <c r="AS316" s="283">
        <v>-2520</v>
      </c>
      <c r="AT316" s="283">
        <v>-240</v>
      </c>
      <c r="AU316" s="283">
        <v>1140</v>
      </c>
      <c r="AV316" s="283">
        <f ca="1">Calc!AM17</f>
        <v>1140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132.86000000000001</v>
      </c>
      <c r="G317" s="271">
        <v>134.04</v>
      </c>
      <c r="H317" s="271">
        <v>134.96100000000001</v>
      </c>
      <c r="I317" s="271">
        <v>133.26</v>
      </c>
      <c r="J317" s="271">
        <v>133.26</v>
      </c>
      <c r="K317" s="271">
        <v>136.6395</v>
      </c>
      <c r="L317" s="271">
        <v>137.28</v>
      </c>
      <c r="M317" s="271">
        <v>136.33000000000001</v>
      </c>
      <c r="N317" s="271">
        <v>137.51</v>
      </c>
      <c r="O317" s="271">
        <v>134.91999999999999</v>
      </c>
      <c r="P317" s="271">
        <v>135.73500000000001</v>
      </c>
      <c r="Q317" s="271">
        <v>135.005</v>
      </c>
      <c r="R317" s="271">
        <v>136.13499999999999</v>
      </c>
      <c r="S317" s="271">
        <v>135.33000000000001</v>
      </c>
      <c r="T317" s="271">
        <v>135.04499999999999</v>
      </c>
      <c r="U317" s="271">
        <v>133.57</v>
      </c>
      <c r="V317" s="271">
        <v>133.73500000000001</v>
      </c>
      <c r="W317" s="271">
        <v>131.77000000000001</v>
      </c>
      <c r="X317" s="271">
        <v>132.80000000000001</v>
      </c>
      <c r="Y317" s="271">
        <v>132.08000000000001</v>
      </c>
      <c r="Z317" s="273">
        <f ca="1">[1]ExtEntry!$I18</f>
        <v>132.08000000000001</v>
      </c>
      <c r="AB317" s="287">
        <v>-755</v>
      </c>
      <c r="AC317" s="287">
        <v>400</v>
      </c>
      <c r="AD317" s="287">
        <v>290</v>
      </c>
      <c r="AE317" s="287">
        <v>2150</v>
      </c>
      <c r="AF317" s="287">
        <v>2150</v>
      </c>
      <c r="AG317" s="287">
        <v>280</v>
      </c>
      <c r="AH317" s="287">
        <v>-2440</v>
      </c>
      <c r="AI317" s="287">
        <v>1340</v>
      </c>
      <c r="AJ317" s="287">
        <v>-1370</v>
      </c>
      <c r="AK317" s="287">
        <v>-3080.1000000000058</v>
      </c>
      <c r="AL317" s="287">
        <v>1680</v>
      </c>
      <c r="AM317" s="287">
        <v>-30</v>
      </c>
      <c r="AN317" s="287">
        <v>105</v>
      </c>
      <c r="AO317" s="287">
        <v>-690</v>
      </c>
      <c r="AP317" s="287">
        <v>-580</v>
      </c>
      <c r="AQ317" s="287">
        <v>-2470</v>
      </c>
      <c r="AR317" s="287">
        <v>2190</v>
      </c>
      <c r="AS317" s="287">
        <v>-3550</v>
      </c>
      <c r="AT317" s="287">
        <v>335</v>
      </c>
      <c r="AU317" s="287">
        <v>90</v>
      </c>
      <c r="AV317" s="283">
        <f ca="1">Calc!AM18</f>
        <v>90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13.6</v>
      </c>
      <c r="G318" s="271">
        <v>13.74</v>
      </c>
      <c r="H318" s="271">
        <v>13.56</v>
      </c>
      <c r="I318" s="271">
        <v>13.87</v>
      </c>
      <c r="J318" s="271">
        <v>13.87</v>
      </c>
      <c r="K318" s="271">
        <v>13.7</v>
      </c>
      <c r="L318" s="271">
        <v>14.03</v>
      </c>
      <c r="M318" s="271">
        <v>14.04</v>
      </c>
      <c r="N318" s="271">
        <v>14.15</v>
      </c>
      <c r="O318" s="271">
        <v>14.135</v>
      </c>
      <c r="P318" s="271">
        <v>14.16</v>
      </c>
      <c r="Q318" s="271">
        <v>14.1</v>
      </c>
      <c r="R318" s="271">
        <v>14.25</v>
      </c>
      <c r="S318" s="271">
        <v>14.23</v>
      </c>
      <c r="T318" s="271">
        <v>14.073700000000001</v>
      </c>
      <c r="U318" s="271">
        <v>14.36</v>
      </c>
      <c r="V318" s="271">
        <v>14.404999999999999</v>
      </c>
      <c r="W318" s="271">
        <v>14.095000000000001</v>
      </c>
      <c r="X318" s="271">
        <v>14.17</v>
      </c>
      <c r="Y318" s="271">
        <v>14.02</v>
      </c>
      <c r="Z318" s="273">
        <f ca="1">[1]ExtEntry!$I19</f>
        <v>14.02</v>
      </c>
      <c r="AB318" s="283">
        <v>-750</v>
      </c>
      <c r="AC318" s="283">
        <v>690</v>
      </c>
      <c r="AD318" s="283">
        <v>1170</v>
      </c>
      <c r="AE318" s="283">
        <v>-210</v>
      </c>
      <c r="AF318" s="283">
        <v>-210</v>
      </c>
      <c r="AG318" s="283">
        <v>-900</v>
      </c>
      <c r="AH318" s="283">
        <v>-702</v>
      </c>
      <c r="AI318" s="283">
        <v>540</v>
      </c>
      <c r="AJ318" s="283">
        <v>840</v>
      </c>
      <c r="AK318" s="283">
        <v>-1198.2000000000116</v>
      </c>
      <c r="AL318" s="283">
        <v>1620</v>
      </c>
      <c r="AM318" s="283">
        <v>-180</v>
      </c>
      <c r="AN318" s="283">
        <v>-390</v>
      </c>
      <c r="AO318" s="283">
        <v>960</v>
      </c>
      <c r="AP318" s="283">
        <v>600</v>
      </c>
      <c r="AQ318" s="283">
        <v>-540</v>
      </c>
      <c r="AR318" s="283">
        <v>-1260</v>
      </c>
      <c r="AS318" s="283">
        <v>-1140</v>
      </c>
      <c r="AT318" s="283">
        <v>1710</v>
      </c>
      <c r="AU318" s="283">
        <v>-2400</v>
      </c>
      <c r="AV318" s="283">
        <f ca="1">Calc!AM19</f>
        <v>-2400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15.62</v>
      </c>
      <c r="G319" s="271">
        <v>15.765000000000001</v>
      </c>
      <c r="H319" s="271">
        <v>15.7</v>
      </c>
      <c r="I319" s="271">
        <v>15.695</v>
      </c>
      <c r="J319" s="271">
        <v>15.695</v>
      </c>
      <c r="K319" s="271">
        <v>15.535</v>
      </c>
      <c r="L319" s="271">
        <v>15.285</v>
      </c>
      <c r="M319" s="271">
        <v>15.4</v>
      </c>
      <c r="N319" s="271">
        <v>15.545</v>
      </c>
      <c r="O319" s="271">
        <v>15.3</v>
      </c>
      <c r="P319" s="271">
        <v>15.07</v>
      </c>
      <c r="Q319" s="271">
        <v>14.67</v>
      </c>
      <c r="R319" s="271">
        <v>14.595000000000001</v>
      </c>
      <c r="S319" s="271">
        <v>14.84</v>
      </c>
      <c r="T319" s="271">
        <v>14.895</v>
      </c>
      <c r="U319" s="271">
        <v>15.205</v>
      </c>
      <c r="V319" s="271">
        <v>15.265000000000001</v>
      </c>
      <c r="W319" s="271">
        <v>15.195</v>
      </c>
      <c r="X319" s="271">
        <v>15.21</v>
      </c>
      <c r="Y319" s="271">
        <v>15.33</v>
      </c>
      <c r="Z319" s="273">
        <f ca="1">[1]ExtEntry!$I20</f>
        <v>15.33</v>
      </c>
      <c r="AB319" s="287">
        <v>-150</v>
      </c>
      <c r="AC319" s="287">
        <v>-800.00000000001455</v>
      </c>
      <c r="AD319" s="287">
        <v>-800</v>
      </c>
      <c r="AE319" s="287">
        <v>-500</v>
      </c>
      <c r="AF319" s="287">
        <v>-500</v>
      </c>
      <c r="AG319" s="287">
        <v>-825</v>
      </c>
      <c r="AH319" s="287">
        <v>200</v>
      </c>
      <c r="AI319" s="287">
        <v>125</v>
      </c>
      <c r="AJ319" s="287">
        <v>150</v>
      </c>
      <c r="AK319" s="287">
        <v>-1050</v>
      </c>
      <c r="AL319" s="287">
        <v>-850</v>
      </c>
      <c r="AM319" s="287">
        <v>-3250</v>
      </c>
      <c r="AN319" s="287">
        <v>-600</v>
      </c>
      <c r="AO319" s="287">
        <v>1750</v>
      </c>
      <c r="AP319" s="287">
        <v>1300</v>
      </c>
      <c r="AQ319" s="287">
        <v>1000</v>
      </c>
      <c r="AR319" s="287">
        <v>-400</v>
      </c>
      <c r="AS319" s="287">
        <v>800</v>
      </c>
      <c r="AT319" s="287">
        <v>-450</v>
      </c>
      <c r="AU319" s="287">
        <v>1093.75</v>
      </c>
      <c r="AV319" s="283">
        <f ca="1">Calc!AM20</f>
        <v>1093.75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1.905</v>
      </c>
      <c r="G320" s="271">
        <v>1.91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0.73299999999999998</v>
      </c>
      <c r="M320" s="271">
        <v>0.24</v>
      </c>
      <c r="N320" s="271">
        <v>0.23300000000000001</v>
      </c>
      <c r="O320" s="271">
        <v>0.22220000000000001</v>
      </c>
      <c r="P320" s="271">
        <v>0.22509999999999999</v>
      </c>
      <c r="Q320" s="271">
        <v>0.23089999999999999</v>
      </c>
      <c r="R320" s="271">
        <v>0.2321</v>
      </c>
      <c r="S320" s="271">
        <v>0.2321</v>
      </c>
      <c r="T320" s="271">
        <v>0.23019999999999999</v>
      </c>
      <c r="U320" s="271">
        <v>0.23139999999999999</v>
      </c>
      <c r="V320" s="271">
        <v>0.23169999999999999</v>
      </c>
      <c r="W320" s="271">
        <v>0.19120000000000001</v>
      </c>
      <c r="X320" s="271">
        <v>0.2</v>
      </c>
      <c r="Y320" s="271">
        <v>0.2016</v>
      </c>
      <c r="Z320" s="273">
        <f ca="1">[1]ExtEntry!$I21</f>
        <v>0.2016</v>
      </c>
      <c r="AB320" s="283">
        <v>-300</v>
      </c>
      <c r="AC320" s="283">
        <v>-159</v>
      </c>
      <c r="AD320" s="283">
        <v>-150</v>
      </c>
      <c r="AE320" s="283">
        <v>300</v>
      </c>
      <c r="AF320" s="283">
        <v>300</v>
      </c>
      <c r="AG320" s="283">
        <v>300</v>
      </c>
      <c r="AH320" s="283">
        <v>1194</v>
      </c>
      <c r="AI320" s="283">
        <v>-105</v>
      </c>
      <c r="AJ320" s="283">
        <v>-72</v>
      </c>
      <c r="AK320" s="283">
        <v>231</v>
      </c>
      <c r="AL320" s="283">
        <v>315</v>
      </c>
      <c r="AM320" s="283">
        <v>3</v>
      </c>
      <c r="AN320" s="283">
        <v>87</v>
      </c>
      <c r="AO320" s="283">
        <v>132</v>
      </c>
      <c r="AP320" s="283">
        <v>36</v>
      </c>
      <c r="AQ320" s="283">
        <v>120</v>
      </c>
      <c r="AR320" s="283">
        <v>219</v>
      </c>
      <c r="AS320" s="283">
        <v>-900</v>
      </c>
      <c r="AT320" s="283">
        <v>-171</v>
      </c>
      <c r="AU320" s="283">
        <v>-243</v>
      </c>
      <c r="AV320" s="283">
        <f ca="1">Calc!AM21</f>
        <v>-243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54.820099999999996</v>
      </c>
      <c r="G321" s="271">
        <v>56.37</v>
      </c>
      <c r="H321" s="271">
        <v>56.1</v>
      </c>
      <c r="I321" s="271">
        <v>56.31</v>
      </c>
      <c r="J321" s="271">
        <v>56.31</v>
      </c>
      <c r="K321" s="271">
        <v>56.64</v>
      </c>
      <c r="L321" s="271">
        <v>57.884500000000003</v>
      </c>
      <c r="M321" s="271">
        <v>58.1</v>
      </c>
      <c r="N321" s="271">
        <v>58.42</v>
      </c>
      <c r="O321" s="271">
        <v>57.76</v>
      </c>
      <c r="P321" s="271">
        <v>57.86</v>
      </c>
      <c r="Q321" s="271">
        <v>56.99</v>
      </c>
      <c r="R321" s="271">
        <v>58.18</v>
      </c>
      <c r="S321" s="271">
        <v>57.7</v>
      </c>
      <c r="T321" s="271">
        <v>57.48</v>
      </c>
      <c r="U321" s="271">
        <v>57.4</v>
      </c>
      <c r="V321" s="271">
        <v>57.6</v>
      </c>
      <c r="W321" s="271">
        <v>56.604999999999997</v>
      </c>
      <c r="X321" s="271">
        <v>57.47</v>
      </c>
      <c r="Y321" s="271">
        <v>58.475000000000001</v>
      </c>
      <c r="Z321" s="273">
        <f ca="1">[1]ExtEntry!$I22</f>
        <v>58.475000000000001</v>
      </c>
      <c r="AB321" s="287">
        <v>-0.80000000000006821</v>
      </c>
      <c r="AC321" s="287">
        <v>-4.2000000000000455</v>
      </c>
      <c r="AD321" s="287">
        <v>1.6230000000000473</v>
      </c>
      <c r="AE321" s="287">
        <v>4.3000000000000682</v>
      </c>
      <c r="AF321" s="287">
        <v>4.3000000000000682</v>
      </c>
      <c r="AG321" s="287">
        <v>-1</v>
      </c>
      <c r="AH321" s="287">
        <v>0.75</v>
      </c>
      <c r="AI321" s="287">
        <v>5.6000000000000227</v>
      </c>
      <c r="AJ321" s="287">
        <v>1.7999999999999545</v>
      </c>
      <c r="AK321" s="287">
        <v>-9.7000000000000455</v>
      </c>
      <c r="AL321" s="287">
        <v>1.1000000000001364</v>
      </c>
      <c r="AM321" s="287">
        <v>5.1999999999999318</v>
      </c>
      <c r="AN321" s="287">
        <v>-0.99999999999988631</v>
      </c>
      <c r="AO321" s="287">
        <v>-3.6999999999999318</v>
      </c>
      <c r="AP321" s="287">
        <v>1.5</v>
      </c>
      <c r="AQ321" s="287">
        <v>1.0999999999999091</v>
      </c>
      <c r="AR321" s="287">
        <v>-1.1999999999999318</v>
      </c>
      <c r="AS321" s="287">
        <v>-5.3500000000000227</v>
      </c>
      <c r="AT321" s="287">
        <v>11.5</v>
      </c>
      <c r="AU321" s="287">
        <v>-13.449999999999932</v>
      </c>
      <c r="AV321" s="283">
        <f ca="1">Calc!AM22</f>
        <v>-13.449999999999932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21.164999999999999</v>
      </c>
      <c r="G322" s="271">
        <v>21.035</v>
      </c>
      <c r="H322" s="271">
        <v>21.1</v>
      </c>
      <c r="I322" s="271">
        <v>21.3</v>
      </c>
      <c r="J322" s="271">
        <v>21.3</v>
      </c>
      <c r="K322" s="271">
        <v>20.440000000000001</v>
      </c>
      <c r="L322" s="271">
        <v>22.344999999999999</v>
      </c>
      <c r="M322" s="271">
        <v>22.4</v>
      </c>
      <c r="N322" s="271">
        <v>22.24</v>
      </c>
      <c r="O322" s="271">
        <v>22.7</v>
      </c>
      <c r="P322" s="271">
        <v>22.43</v>
      </c>
      <c r="Q322" s="271">
        <v>21.92</v>
      </c>
      <c r="R322" s="271">
        <v>22.574999999999999</v>
      </c>
      <c r="S322" s="271">
        <v>22.574999999999999</v>
      </c>
      <c r="T322" s="271">
        <v>22.68</v>
      </c>
      <c r="U322" s="271">
        <v>23.05</v>
      </c>
      <c r="V322" s="271">
        <v>23.375</v>
      </c>
      <c r="W322" s="271">
        <v>23.93</v>
      </c>
      <c r="X322" s="271">
        <v>24.445</v>
      </c>
      <c r="Y322" s="271">
        <v>24.73</v>
      </c>
      <c r="Z322" s="273">
        <f ca="1">[1]ExtEntry!$I23</f>
        <v>24.73</v>
      </c>
      <c r="AB322" s="283">
        <v>-697.5</v>
      </c>
      <c r="AC322" s="283">
        <v>-1937.5</v>
      </c>
      <c r="AD322" s="283">
        <v>3797.5</v>
      </c>
      <c r="AE322" s="283">
        <v>-1240</v>
      </c>
      <c r="AF322" s="283">
        <v>-1240</v>
      </c>
      <c r="AG322" s="283">
        <v>-8602.5</v>
      </c>
      <c r="AH322" s="283">
        <v>1240</v>
      </c>
      <c r="AI322" s="283">
        <v>-697.5</v>
      </c>
      <c r="AJ322" s="283">
        <v>5967.5</v>
      </c>
      <c r="AK322" s="283">
        <v>4800</v>
      </c>
      <c r="AL322" s="283">
        <v>-3240</v>
      </c>
      <c r="AM322" s="283">
        <v>3900</v>
      </c>
      <c r="AN322" s="283">
        <v>-3000</v>
      </c>
      <c r="AO322" s="283">
        <v>-1680</v>
      </c>
      <c r="AP322" s="283">
        <v>-8880</v>
      </c>
      <c r="AQ322" s="283">
        <v>-1140</v>
      </c>
      <c r="AR322" s="283">
        <v>5580</v>
      </c>
      <c r="AS322" s="283">
        <v>5160</v>
      </c>
      <c r="AT322" s="283">
        <v>3480</v>
      </c>
      <c r="AU322" s="283">
        <v>-1440</v>
      </c>
      <c r="AV322" s="283">
        <f ca="1">Calc!AM23</f>
        <v>-1440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26.619</v>
      </c>
      <c r="G323" s="271">
        <v>26.71</v>
      </c>
      <c r="H323" s="271">
        <v>26.69</v>
      </c>
      <c r="I323" s="271">
        <v>26.905000000000001</v>
      </c>
      <c r="J323" s="271">
        <v>26.905000000000001</v>
      </c>
      <c r="K323" s="271">
        <v>26.355</v>
      </c>
      <c r="L323" s="271">
        <v>27.445</v>
      </c>
      <c r="M323" s="271">
        <v>26.925000000000001</v>
      </c>
      <c r="N323" s="271">
        <v>26.895</v>
      </c>
      <c r="O323" s="271">
        <v>27.01</v>
      </c>
      <c r="P323" s="271">
        <v>28.01</v>
      </c>
      <c r="Q323" s="271">
        <v>27.794599999999999</v>
      </c>
      <c r="R323" s="271">
        <v>28.585000000000001</v>
      </c>
      <c r="S323" s="271">
        <v>28.51</v>
      </c>
      <c r="T323" s="271">
        <v>28.47</v>
      </c>
      <c r="U323" s="271">
        <v>28.83</v>
      </c>
      <c r="V323" s="271">
        <v>28.914999999999999</v>
      </c>
      <c r="W323" s="271">
        <v>27.5901</v>
      </c>
      <c r="X323" s="271">
        <v>28.245000000000001</v>
      </c>
      <c r="Y323" s="271">
        <v>27.93</v>
      </c>
      <c r="Z323" s="273">
        <f ca="1">[1]ExtEntry!$I24</f>
        <v>27.93</v>
      </c>
      <c r="AB323" s="287">
        <v>525</v>
      </c>
      <c r="AC323" s="287">
        <v>-1475</v>
      </c>
      <c r="AD323" s="287">
        <v>850</v>
      </c>
      <c r="AE323" s="287">
        <v>170</v>
      </c>
      <c r="AF323" s="287">
        <v>170</v>
      </c>
      <c r="AG323" s="287">
        <v>-330</v>
      </c>
      <c r="AH323" s="287">
        <v>-150</v>
      </c>
      <c r="AI323" s="287">
        <v>-340</v>
      </c>
      <c r="AJ323" s="287">
        <v>70</v>
      </c>
      <c r="AK323" s="287">
        <v>-315</v>
      </c>
      <c r="AL323" s="287">
        <v>440</v>
      </c>
      <c r="AM323" s="287">
        <v>135</v>
      </c>
      <c r="AN323" s="287">
        <v>-275</v>
      </c>
      <c r="AO323" s="287">
        <v>-300</v>
      </c>
      <c r="AP323" s="287">
        <v>200</v>
      </c>
      <c r="AQ323" s="287">
        <v>85</v>
      </c>
      <c r="AR323" s="287">
        <v>-170</v>
      </c>
      <c r="AS323" s="287">
        <v>-50</v>
      </c>
      <c r="AT323" s="287">
        <v>-160</v>
      </c>
      <c r="AU323" s="287">
        <v>-285</v>
      </c>
      <c r="AV323" s="283">
        <f ca="1">Calc!AM24</f>
        <v>-285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381.7</v>
      </c>
      <c r="G324" s="271">
        <v>382.2</v>
      </c>
      <c r="H324" s="271">
        <v>384.8</v>
      </c>
      <c r="I324" s="271">
        <v>388</v>
      </c>
      <c r="J324" s="271">
        <v>388</v>
      </c>
      <c r="K324" s="271">
        <v>386.2</v>
      </c>
      <c r="L324" s="271">
        <v>384.4</v>
      </c>
      <c r="M324" s="271">
        <v>387.7</v>
      </c>
      <c r="N324" s="271">
        <v>382.5</v>
      </c>
      <c r="O324" s="271">
        <v>386</v>
      </c>
      <c r="P324" s="271">
        <v>381.3</v>
      </c>
      <c r="Q324" s="271">
        <v>377.2</v>
      </c>
      <c r="R324" s="271">
        <v>380.7</v>
      </c>
      <c r="S324" s="271">
        <v>381.2</v>
      </c>
      <c r="T324" s="271">
        <v>385.8</v>
      </c>
      <c r="U324" s="271">
        <v>389.6</v>
      </c>
      <c r="V324" s="271">
        <v>390.7</v>
      </c>
      <c r="W324" s="271">
        <v>381.7</v>
      </c>
      <c r="X324" s="271">
        <v>381.8</v>
      </c>
      <c r="Y324" s="271">
        <v>379.3</v>
      </c>
      <c r="Z324" s="273">
        <f ca="1">[1]ExtEntry!$I25</f>
        <v>379.3</v>
      </c>
      <c r="AB324" s="283">
        <v>-3240</v>
      </c>
      <c r="AC324" s="283">
        <v>-1890</v>
      </c>
      <c r="AD324" s="283">
        <v>4860</v>
      </c>
      <c r="AE324" s="283">
        <v>10530</v>
      </c>
      <c r="AF324" s="283">
        <v>10530</v>
      </c>
      <c r="AG324" s="283">
        <v>-8910</v>
      </c>
      <c r="AH324" s="283">
        <v>26460</v>
      </c>
      <c r="AI324" s="283">
        <v>3780</v>
      </c>
      <c r="AJ324" s="283">
        <v>-23220</v>
      </c>
      <c r="AK324" s="283">
        <v>9450</v>
      </c>
      <c r="AL324" s="283">
        <v>18360</v>
      </c>
      <c r="AM324" s="283">
        <v>-39420</v>
      </c>
      <c r="AN324" s="283">
        <v>22906.800000000047</v>
      </c>
      <c r="AO324" s="283">
        <v>6210</v>
      </c>
      <c r="AP324" s="283">
        <v>0</v>
      </c>
      <c r="AQ324" s="283">
        <v>7560</v>
      </c>
      <c r="AR324" s="283">
        <v>9180</v>
      </c>
      <c r="AS324" s="283">
        <v>-44010</v>
      </c>
      <c r="AT324" s="283">
        <v>-4050</v>
      </c>
      <c r="AU324" s="283">
        <v>-7020</v>
      </c>
      <c r="AV324" s="283">
        <f ca="1">Calc!AM25</f>
        <v>-7020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69.400000000000006</v>
      </c>
      <c r="G325" s="271">
        <v>68.739999999999995</v>
      </c>
      <c r="H325" s="271">
        <v>69.855000000000004</v>
      </c>
      <c r="I325" s="271">
        <v>69.855000000000004</v>
      </c>
      <c r="J325" s="271">
        <v>69.855000000000004</v>
      </c>
      <c r="K325" s="271">
        <v>70.36</v>
      </c>
      <c r="L325" s="271">
        <v>69.63</v>
      </c>
      <c r="M325" s="271">
        <v>68.87</v>
      </c>
      <c r="N325" s="271">
        <v>67.31</v>
      </c>
      <c r="O325" s="271">
        <v>66.8</v>
      </c>
      <c r="P325" s="271">
        <v>67.099999999999994</v>
      </c>
      <c r="Q325" s="271">
        <v>68.03</v>
      </c>
      <c r="R325" s="271">
        <v>67.17</v>
      </c>
      <c r="S325" s="271">
        <v>67.17</v>
      </c>
      <c r="T325" s="271">
        <v>67.73</v>
      </c>
      <c r="U325" s="271">
        <v>67.284999999999997</v>
      </c>
      <c r="V325" s="271">
        <v>66.72</v>
      </c>
      <c r="W325" s="271">
        <v>66.34</v>
      </c>
      <c r="X325" s="271">
        <v>66.16</v>
      </c>
      <c r="Y325" s="271">
        <v>67.150000000000006</v>
      </c>
      <c r="Z325" s="273">
        <f ca="1">[1]ExtEntry!$I26</f>
        <v>67.150000000000006</v>
      </c>
      <c r="AB325" s="287">
        <v>-2060</v>
      </c>
      <c r="AC325" s="287">
        <v>1320</v>
      </c>
      <c r="AD325" s="287">
        <v>570</v>
      </c>
      <c r="AE325" s="287">
        <v>1590</v>
      </c>
      <c r="AF325" s="287">
        <v>1590</v>
      </c>
      <c r="AG325" s="287">
        <v>2300</v>
      </c>
      <c r="AH325" s="287">
        <v>900</v>
      </c>
      <c r="AI325" s="287">
        <v>-2360</v>
      </c>
      <c r="AJ325" s="287">
        <v>-2080</v>
      </c>
      <c r="AK325" s="287">
        <v>-1960</v>
      </c>
      <c r="AL325" s="287">
        <v>399.0000000000291</v>
      </c>
      <c r="AM325" s="287">
        <v>1675.7999999999593</v>
      </c>
      <c r="AN325" s="287">
        <v>-2912.7000000000116</v>
      </c>
      <c r="AO325" s="287">
        <v>-398.9999999999709</v>
      </c>
      <c r="AP325" s="287">
        <v>-1649.1999999999534</v>
      </c>
      <c r="AQ325" s="287">
        <v>758.10000000003492</v>
      </c>
      <c r="AR325" s="287">
        <v>-532.0000000000291</v>
      </c>
      <c r="AS325" s="287">
        <v>-824.60000000000582</v>
      </c>
      <c r="AT325" s="287">
        <v>-5027.3999999999942</v>
      </c>
      <c r="AU325" s="287">
        <v>2420.6000000000349</v>
      </c>
      <c r="AV325" s="283">
        <f ca="1">Calc!AM26</f>
        <v>2420.6000000000349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12.56</v>
      </c>
      <c r="G326" s="271">
        <v>12.6</v>
      </c>
      <c r="H326" s="271">
        <v>12.66</v>
      </c>
      <c r="I326" s="271">
        <v>12.454000000000001</v>
      </c>
      <c r="J326" s="271">
        <v>12.454000000000001</v>
      </c>
      <c r="K326" s="271">
        <v>12.45</v>
      </c>
      <c r="L326" s="271">
        <v>12.65</v>
      </c>
      <c r="M326" s="271">
        <v>12.574999999999999</v>
      </c>
      <c r="N326" s="271">
        <v>12.19</v>
      </c>
      <c r="O326" s="271">
        <v>12.09</v>
      </c>
      <c r="P326" s="271">
        <v>12.055</v>
      </c>
      <c r="Q326" s="271">
        <v>12.13</v>
      </c>
      <c r="R326" s="271">
        <v>12.253</v>
      </c>
      <c r="S326" s="271">
        <v>11.6</v>
      </c>
      <c r="T326" s="271">
        <v>11.95</v>
      </c>
      <c r="U326" s="271">
        <v>12.0001</v>
      </c>
      <c r="V326" s="271">
        <v>12.14</v>
      </c>
      <c r="W326" s="271">
        <v>12.08</v>
      </c>
      <c r="X326" s="271">
        <v>12.0489</v>
      </c>
      <c r="Y326" s="271">
        <v>12.09</v>
      </c>
      <c r="Z326" s="273">
        <f ca="1">[1]ExtEntry!$I27</f>
        <v>12.09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4.12</v>
      </c>
      <c r="G327" s="271">
        <v>4.37</v>
      </c>
      <c r="H327" s="271">
        <v>4.54</v>
      </c>
      <c r="I327" s="271">
        <v>4.5199999999999996</v>
      </c>
      <c r="J327" s="271">
        <v>4.5199999999999996</v>
      </c>
      <c r="K327" s="271">
        <v>4.4000000000000004</v>
      </c>
      <c r="L327" s="271">
        <v>4.6021000000000001</v>
      </c>
      <c r="M327" s="271">
        <v>4.6100000000000003</v>
      </c>
      <c r="N327" s="271">
        <v>4.6900000000000004</v>
      </c>
      <c r="O327" s="271">
        <v>5.09</v>
      </c>
      <c r="P327" s="271">
        <v>4.93</v>
      </c>
      <c r="Q327" s="271">
        <v>4.7519999999999998</v>
      </c>
      <c r="R327" s="271">
        <v>4.6950000000000003</v>
      </c>
      <c r="S327" s="271">
        <v>4.58</v>
      </c>
      <c r="T327" s="271">
        <v>4.74</v>
      </c>
      <c r="U327" s="271">
        <v>4.5650000000000004</v>
      </c>
      <c r="V327" s="271">
        <v>5</v>
      </c>
      <c r="W327" s="271">
        <v>5.5949999999999998</v>
      </c>
      <c r="X327" s="271">
        <v>6.08</v>
      </c>
      <c r="Y327" s="271">
        <v>5.81</v>
      </c>
      <c r="Z327" s="273">
        <f ca="1">[1]ExtEntry!$I28</f>
        <v>5.81</v>
      </c>
      <c r="AB327" s="287">
        <v>-510</v>
      </c>
      <c r="AC327" s="287">
        <v>50</v>
      </c>
      <c r="AD327" s="287">
        <v>346.20000000000073</v>
      </c>
      <c r="AE327" s="287">
        <v>-200</v>
      </c>
      <c r="AF327" s="287">
        <v>-200</v>
      </c>
      <c r="AG327" s="287">
        <v>-190</v>
      </c>
      <c r="AH327" s="287">
        <v>150</v>
      </c>
      <c r="AI327" s="287">
        <v>50</v>
      </c>
      <c r="AJ327" s="287">
        <v>1150</v>
      </c>
      <c r="AK327" s="287">
        <v>-480</v>
      </c>
      <c r="AL327" s="287">
        <v>-100</v>
      </c>
      <c r="AM327" s="287">
        <v>-90</v>
      </c>
      <c r="AN327" s="287">
        <v>20</v>
      </c>
      <c r="AO327" s="287">
        <v>-60</v>
      </c>
      <c r="AP327" s="287">
        <v>440</v>
      </c>
      <c r="AQ327" s="287">
        <v>870</v>
      </c>
      <c r="AR327" s="287">
        <v>1060</v>
      </c>
      <c r="AS327" s="287">
        <v>1050</v>
      </c>
      <c r="AT327" s="287">
        <v>-210</v>
      </c>
      <c r="AU327" s="287">
        <v>-10</v>
      </c>
      <c r="AV327" s="283">
        <f ca="1">Calc!AM28</f>
        <v>-10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25.82</v>
      </c>
      <c r="G328" s="271">
        <v>26.8</v>
      </c>
      <c r="H328" s="271">
        <v>27.965</v>
      </c>
      <c r="I328" s="271">
        <v>27.62</v>
      </c>
      <c r="J328" s="271">
        <v>27.62</v>
      </c>
      <c r="K328" s="271">
        <v>26.56</v>
      </c>
      <c r="L328" s="271">
        <v>25.35</v>
      </c>
      <c r="M328" s="271">
        <v>24.29</v>
      </c>
      <c r="N328" s="271">
        <v>24.28</v>
      </c>
      <c r="O328" s="271">
        <v>24.35</v>
      </c>
      <c r="P328" s="271">
        <v>23.84</v>
      </c>
      <c r="Q328" s="271">
        <v>23.46</v>
      </c>
      <c r="R328" s="271">
        <v>23.81</v>
      </c>
      <c r="S328" s="271">
        <v>23.79</v>
      </c>
      <c r="T328" s="271">
        <v>23.33</v>
      </c>
      <c r="U328" s="271">
        <v>23.78</v>
      </c>
      <c r="V328" s="271">
        <v>24.32</v>
      </c>
      <c r="W328" s="271">
        <v>24.207999999999998</v>
      </c>
      <c r="X328" s="271">
        <v>24.5</v>
      </c>
      <c r="Y328" s="271">
        <v>23.18</v>
      </c>
      <c r="Z328" s="273">
        <f ca="1">[1]ExtEntry!$I29</f>
        <v>23.18</v>
      </c>
      <c r="AB328" s="283">
        <v>2758.7999999999884</v>
      </c>
      <c r="AC328" s="283">
        <v>10200</v>
      </c>
      <c r="AD328" s="283">
        <v>-2100</v>
      </c>
      <c r="AE328" s="283">
        <v>-2580</v>
      </c>
      <c r="AF328" s="283">
        <v>-2580</v>
      </c>
      <c r="AG328" s="283">
        <v>-9960</v>
      </c>
      <c r="AH328" s="283">
        <v>-21240</v>
      </c>
      <c r="AI328" s="283">
        <v>-7440</v>
      </c>
      <c r="AJ328" s="283">
        <v>4200</v>
      </c>
      <c r="AK328" s="283">
        <v>-6660</v>
      </c>
      <c r="AL328" s="283">
        <v>-1920</v>
      </c>
      <c r="AM328" s="283">
        <v>-5400</v>
      </c>
      <c r="AN328" s="283">
        <v>1440</v>
      </c>
      <c r="AO328" s="283">
        <v>-1320</v>
      </c>
      <c r="AP328" s="283">
        <v>5640</v>
      </c>
      <c r="AQ328" s="283">
        <v>-1140</v>
      </c>
      <c r="AR328" s="283">
        <v>-5280</v>
      </c>
      <c r="AS328" s="283">
        <v>-3240</v>
      </c>
      <c r="AT328" s="283">
        <v>10560</v>
      </c>
      <c r="AU328" s="283">
        <v>-20580</v>
      </c>
      <c r="AV328" s="283">
        <f ca="1">Calc!AM29</f>
        <v>-20580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520.15499999999997</v>
      </c>
      <c r="G329" s="271">
        <v>520.86</v>
      </c>
      <c r="H329" s="271">
        <v>517.69000000000005</v>
      </c>
      <c r="I329" s="271">
        <v>508.57</v>
      </c>
      <c r="J329" s="271">
        <v>508.57</v>
      </c>
      <c r="K329" s="271">
        <v>504.44</v>
      </c>
      <c r="L329" s="271">
        <v>504.12</v>
      </c>
      <c r="M329" s="271">
        <v>498.51</v>
      </c>
      <c r="N329" s="271">
        <v>499.9</v>
      </c>
      <c r="O329" s="271">
        <v>505.5</v>
      </c>
      <c r="P329" s="271">
        <v>504.49149999999997</v>
      </c>
      <c r="Q329" s="271">
        <v>496.81</v>
      </c>
      <c r="R329" s="271">
        <v>503.05</v>
      </c>
      <c r="S329" s="271">
        <v>502.32</v>
      </c>
      <c r="T329" s="271">
        <v>503.15</v>
      </c>
      <c r="U329" s="271">
        <v>495.03</v>
      </c>
      <c r="V329" s="271">
        <v>497.7</v>
      </c>
      <c r="W329" s="271">
        <v>496.72</v>
      </c>
      <c r="X329" s="271">
        <v>497.88</v>
      </c>
      <c r="Y329" s="271">
        <v>503.85</v>
      </c>
      <c r="Z329" s="273">
        <f ca="1">[1]ExtEntry!$I30</f>
        <v>503.85</v>
      </c>
      <c r="AB329" s="287">
        <v>12240</v>
      </c>
      <c r="AC329" s="287">
        <v>-1937.9999999990687</v>
      </c>
      <c r="AD329" s="287">
        <v>-35903.999999999069</v>
      </c>
      <c r="AE329" s="287">
        <v>-61914</v>
      </c>
      <c r="AF329" s="287">
        <v>-61914</v>
      </c>
      <c r="AG329" s="287">
        <v>-42279</v>
      </c>
      <c r="AH329" s="287">
        <v>-24174</v>
      </c>
      <c r="AI329" s="287">
        <v>-23613</v>
      </c>
      <c r="AJ329" s="287">
        <v>48348</v>
      </c>
      <c r="AK329" s="287">
        <v>10455</v>
      </c>
      <c r="AL329" s="287">
        <v>-20094</v>
      </c>
      <c r="AM329" s="287">
        <v>8568</v>
      </c>
      <c r="AN329" s="287">
        <v>16014</v>
      </c>
      <c r="AO329" s="287">
        <v>15912</v>
      </c>
      <c r="AP329" s="287">
        <v>37434</v>
      </c>
      <c r="AQ329" s="287">
        <v>969</v>
      </c>
      <c r="AR329" s="287">
        <v>-30804</v>
      </c>
      <c r="AS329" s="287">
        <v>-26622</v>
      </c>
      <c r="AT329" s="287">
        <v>-7038</v>
      </c>
      <c r="AU329" s="287">
        <v>33150</v>
      </c>
      <c r="AV329" s="283">
        <f ca="1">Calc!AM30</f>
        <v>33150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71.350099999999998</v>
      </c>
      <c r="G330" s="271">
        <v>71.78</v>
      </c>
      <c r="H330" s="271">
        <v>75.7</v>
      </c>
      <c r="I330" s="271">
        <v>75.47</v>
      </c>
      <c r="J330" s="271">
        <v>75.47</v>
      </c>
      <c r="K330" s="271">
        <v>75.83</v>
      </c>
      <c r="L330" s="271">
        <v>75.11</v>
      </c>
      <c r="M330" s="271">
        <v>74.430000000000007</v>
      </c>
      <c r="N330" s="271">
        <v>73.400000000000006</v>
      </c>
      <c r="O330" s="271">
        <v>72.87</v>
      </c>
      <c r="P330" s="271">
        <v>71.819999999999993</v>
      </c>
      <c r="Q330" s="271">
        <v>71.504999999999995</v>
      </c>
      <c r="R330" s="271">
        <v>71.5</v>
      </c>
      <c r="S330" s="271">
        <v>71.355699999999999</v>
      </c>
      <c r="T330" s="271">
        <v>70.16</v>
      </c>
      <c r="U330" s="271">
        <v>69.239999999999995</v>
      </c>
      <c r="V330" s="271">
        <v>69.540000000000006</v>
      </c>
      <c r="W330" s="271">
        <v>69.62</v>
      </c>
      <c r="X330" s="271">
        <v>70.510000000000005</v>
      </c>
      <c r="Y330" s="271">
        <v>70.81</v>
      </c>
      <c r="Z330" s="273">
        <f ca="1">[1]ExtEntry!$I31</f>
        <v>70.81</v>
      </c>
      <c r="AB330" s="283">
        <v>-1512</v>
      </c>
      <c r="AC330" s="283">
        <v>1302</v>
      </c>
      <c r="AD330" s="283">
        <v>1302</v>
      </c>
      <c r="AE330" s="283">
        <v>2037</v>
      </c>
      <c r="AF330" s="283">
        <v>2037</v>
      </c>
      <c r="AG330" s="283">
        <v>-2226</v>
      </c>
      <c r="AH330" s="283">
        <v>-1568.0000000000291</v>
      </c>
      <c r="AI330" s="283">
        <v>-1920</v>
      </c>
      <c r="AJ330" s="283">
        <v>-3328</v>
      </c>
      <c r="AK330" s="283">
        <v>-56</v>
      </c>
      <c r="AL330" s="283">
        <v>-70.000000000001819</v>
      </c>
      <c r="AM330" s="283">
        <v>7.999999999998181</v>
      </c>
      <c r="AN330" s="283">
        <v>-134</v>
      </c>
      <c r="AO330" s="283">
        <v>-98</v>
      </c>
      <c r="AP330" s="283">
        <v>-236</v>
      </c>
      <c r="AQ330" s="283">
        <v>-204</v>
      </c>
      <c r="AR330" s="283">
        <v>84</v>
      </c>
      <c r="AS330" s="283">
        <v>4389</v>
      </c>
      <c r="AT330" s="283">
        <v>1995</v>
      </c>
      <c r="AU330" s="283">
        <v>2142</v>
      </c>
      <c r="AV330" s="283">
        <f ca="1">Calc!AM31</f>
        <v>2142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67.959999999999994</v>
      </c>
      <c r="G331" s="271">
        <v>67.962000000000003</v>
      </c>
      <c r="H331" s="271">
        <v>68.790000000000006</v>
      </c>
      <c r="I331" s="271">
        <v>67.2</v>
      </c>
      <c r="J331" s="271">
        <v>67.2</v>
      </c>
      <c r="K331" s="271">
        <v>67.69</v>
      </c>
      <c r="L331" s="271">
        <v>70.88</v>
      </c>
      <c r="M331" s="271">
        <v>70.91</v>
      </c>
      <c r="N331" s="271">
        <v>71.488799999999998</v>
      </c>
      <c r="O331" s="271">
        <v>72.23</v>
      </c>
      <c r="P331" s="271">
        <v>72.775000000000006</v>
      </c>
      <c r="Q331" s="271">
        <v>73.55</v>
      </c>
      <c r="R331" s="271">
        <v>75.73</v>
      </c>
      <c r="S331" s="271">
        <v>75.215000000000003</v>
      </c>
      <c r="T331" s="271">
        <v>73.44</v>
      </c>
      <c r="U331" s="271">
        <v>75.215000000000003</v>
      </c>
      <c r="V331" s="271">
        <v>75.45</v>
      </c>
      <c r="W331" s="271">
        <v>77.14</v>
      </c>
      <c r="X331" s="271">
        <v>77.56</v>
      </c>
      <c r="Y331" s="271">
        <v>78.765000000000001</v>
      </c>
      <c r="Z331" s="273">
        <f ca="1">[1]ExtEntry!$I32</f>
        <v>78.765000000000001</v>
      </c>
      <c r="AB331" s="287">
        <v>-8645</v>
      </c>
      <c r="AC331" s="287">
        <v>5915</v>
      </c>
      <c r="AD331" s="287">
        <v>-6006</v>
      </c>
      <c r="AE331" s="287">
        <v>-27209</v>
      </c>
      <c r="AF331" s="287">
        <v>-27209</v>
      </c>
      <c r="AG331" s="287">
        <v>19292</v>
      </c>
      <c r="AH331" s="287">
        <v>3003</v>
      </c>
      <c r="AI331" s="287">
        <v>28119</v>
      </c>
      <c r="AJ331" s="287">
        <v>8918</v>
      </c>
      <c r="AK331" s="287">
        <v>5158.0799999998417</v>
      </c>
      <c r="AL331" s="287">
        <v>24300</v>
      </c>
      <c r="AM331" s="287">
        <v>9720</v>
      </c>
      <c r="AN331" s="287">
        <v>-243</v>
      </c>
      <c r="AO331" s="287">
        <v>-14256</v>
      </c>
      <c r="AP331" s="287">
        <v>8586</v>
      </c>
      <c r="AQ331" s="287">
        <v>-14904</v>
      </c>
      <c r="AR331" s="287">
        <v>-5670</v>
      </c>
      <c r="AS331" s="287">
        <v>18468</v>
      </c>
      <c r="AT331" s="287">
        <v>31185</v>
      </c>
      <c r="AU331" s="287">
        <v>-6461</v>
      </c>
      <c r="AV331" s="283">
        <f ca="1">Calc!AM32</f>
        <v>-6461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1207.03</v>
      </c>
      <c r="G332" s="271">
        <v>1227.8800000000001</v>
      </c>
      <c r="H332" s="271">
        <v>1235.45</v>
      </c>
      <c r="I332" s="271">
        <v>1192.79</v>
      </c>
      <c r="J332" s="271">
        <v>1192.79</v>
      </c>
      <c r="K332" s="271">
        <v>1193.3100999999999</v>
      </c>
      <c r="L332" s="271">
        <v>1199</v>
      </c>
      <c r="M332" s="271">
        <v>1212.2</v>
      </c>
      <c r="N332" s="271">
        <v>1213</v>
      </c>
      <c r="O332" s="271">
        <v>1214.2681</v>
      </c>
      <c r="P332" s="271">
        <v>1201.1500000000001</v>
      </c>
      <c r="Q332" s="271">
        <v>1182.8</v>
      </c>
      <c r="R332" s="271">
        <v>1203.3800000000001</v>
      </c>
      <c r="S332" s="271">
        <v>1203.3800000000001</v>
      </c>
      <c r="T332" s="271">
        <v>1223.0899999999999</v>
      </c>
      <c r="U332" s="271">
        <v>1232</v>
      </c>
      <c r="V332" s="271">
        <v>1246.67</v>
      </c>
      <c r="W332" s="271">
        <v>1246.355</v>
      </c>
      <c r="X332" s="271">
        <v>1192.06</v>
      </c>
      <c r="Y332" s="271">
        <v>1182.4000000000001</v>
      </c>
      <c r="Z332" s="273">
        <f ca="1">[1]ExtEntry!$I33</f>
        <v>1182.4000000000001</v>
      </c>
      <c r="AB332" s="283">
        <v>16703.999999999884</v>
      </c>
      <c r="AC332" s="283">
        <v>2130</v>
      </c>
      <c r="AD332" s="283">
        <v>4571.9999999998836</v>
      </c>
      <c r="AE332" s="283">
        <v>-16548.000000000116</v>
      </c>
      <c r="AF332" s="283">
        <v>-16548.000000000116</v>
      </c>
      <c r="AG332" s="283">
        <v>-2484.0000000001164</v>
      </c>
      <c r="AH332" s="283">
        <v>9852</v>
      </c>
      <c r="AI332" s="283">
        <v>3528</v>
      </c>
      <c r="AJ332" s="283">
        <v>-65.999999999883585</v>
      </c>
      <c r="AK332" s="283">
        <v>1953</v>
      </c>
      <c r="AL332" s="283">
        <v>-11832</v>
      </c>
      <c r="AM332" s="283">
        <v>3286.5</v>
      </c>
      <c r="AN332" s="283">
        <v>3876</v>
      </c>
      <c r="AO332" s="283">
        <v>12623.999999999884</v>
      </c>
      <c r="AP332" s="283">
        <v>20568</v>
      </c>
      <c r="AQ332" s="283">
        <v>-2268</v>
      </c>
      <c r="AR332" s="283">
        <v>9948</v>
      </c>
      <c r="AS332" s="283">
        <v>-9759</v>
      </c>
      <c r="AT332" s="283">
        <v>-27014.999999999884</v>
      </c>
      <c r="AU332" s="283">
        <v>-8769</v>
      </c>
      <c r="AV332" s="283">
        <f ca="1">Calc!AM33</f>
        <v>-8769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0.52349999999999997</v>
      </c>
      <c r="G333" s="271">
        <v>0.52200000000000002</v>
      </c>
      <c r="H333" s="271">
        <v>0.52</v>
      </c>
      <c r="I333" s="271">
        <v>0.49719999999999998</v>
      </c>
      <c r="J333" s="271">
        <v>0.49719999999999998</v>
      </c>
      <c r="K333" s="271">
        <v>0.48499999999999999</v>
      </c>
      <c r="L333" s="271">
        <v>0.41099999999999998</v>
      </c>
      <c r="M333" s="271">
        <v>0.40510000000000002</v>
      </c>
      <c r="N333" s="271">
        <v>0.4052</v>
      </c>
      <c r="O333" s="271">
        <v>0.42299999999999999</v>
      </c>
      <c r="P333" s="271">
        <v>0.40310000000000001</v>
      </c>
      <c r="Q333" s="271">
        <v>4.5999999999999996</v>
      </c>
      <c r="R333" s="271">
        <v>5.0949999999999998</v>
      </c>
      <c r="S333" s="271">
        <v>4.5999999999999996</v>
      </c>
      <c r="T333" s="271">
        <v>3.8300999999999998</v>
      </c>
      <c r="U333" s="271">
        <v>4.05</v>
      </c>
      <c r="V333" s="271">
        <v>4.41</v>
      </c>
      <c r="W333" s="271">
        <v>4.6900000000000004</v>
      </c>
      <c r="X333" s="271">
        <v>5.04</v>
      </c>
      <c r="Y333" s="271">
        <v>4.4161999999999999</v>
      </c>
      <c r="Z333" s="273">
        <f ca="1">[1]ExtEntry!$I34</f>
        <v>4.4161999999999999</v>
      </c>
      <c r="AB333" s="287">
        <v>-6351.0000000000291</v>
      </c>
      <c r="AC333" s="287">
        <v>3915</v>
      </c>
      <c r="AD333" s="287">
        <v>2639</v>
      </c>
      <c r="AE333" s="287">
        <v>-6785.9999999999709</v>
      </c>
      <c r="AF333" s="287">
        <v>-6785.9999999999709</v>
      </c>
      <c r="AG333" s="287">
        <v>-7221</v>
      </c>
      <c r="AH333" s="287">
        <v>-1827.0000000000146</v>
      </c>
      <c r="AI333" s="287">
        <v>-2871.0000000000146</v>
      </c>
      <c r="AJ333" s="287">
        <v>4000</v>
      </c>
      <c r="AK333" s="287">
        <v>-960</v>
      </c>
      <c r="AL333" s="287">
        <v>2752</v>
      </c>
      <c r="AM333" s="287">
        <v>-8930.7783000000054</v>
      </c>
      <c r="AN333" s="287">
        <v>-3333.375</v>
      </c>
      <c r="AO333" s="287">
        <v>-14133.509999999995</v>
      </c>
      <c r="AP333" s="287">
        <v>-15733.529999999999</v>
      </c>
      <c r="AQ333" s="287">
        <v>10400.130000000019</v>
      </c>
      <c r="AR333" s="287">
        <v>6133.410000000018</v>
      </c>
      <c r="AS333" s="287">
        <v>9600.1199999999953</v>
      </c>
      <c r="AT333" s="287">
        <v>-1600.0200000000186</v>
      </c>
      <c r="AU333" s="287">
        <v>-9733.4550000000017</v>
      </c>
      <c r="AV333" s="283">
        <f ca="1">Calc!AM34</f>
        <v>-9733.4550000000017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31.215</v>
      </c>
      <c r="G334" s="271">
        <v>31.145</v>
      </c>
      <c r="H334" s="271">
        <v>31.24</v>
      </c>
      <c r="I334" s="271">
        <v>30.59</v>
      </c>
      <c r="J334" s="271">
        <v>30.59</v>
      </c>
      <c r="K334" s="271">
        <v>30.683399999999999</v>
      </c>
      <c r="L334" s="271">
        <v>32.4</v>
      </c>
      <c r="M334" s="271">
        <v>32.57</v>
      </c>
      <c r="N334" s="271">
        <v>32.32</v>
      </c>
      <c r="O334" s="271">
        <v>32.524999999999999</v>
      </c>
      <c r="P334" s="271">
        <v>32.950000000000003</v>
      </c>
      <c r="Q334" s="271">
        <v>33.5</v>
      </c>
      <c r="R334" s="271">
        <v>34.249000000000002</v>
      </c>
      <c r="S334" s="271">
        <v>33.69</v>
      </c>
      <c r="T334" s="271">
        <v>33.332000000000001</v>
      </c>
      <c r="U334" s="271">
        <v>35.020000000000003</v>
      </c>
      <c r="V334" s="271">
        <v>35.134999999999998</v>
      </c>
      <c r="W334" s="271">
        <v>35.46</v>
      </c>
      <c r="X334" s="271">
        <v>35.83</v>
      </c>
      <c r="Y334" s="271">
        <v>36.625</v>
      </c>
      <c r="Z334" s="273">
        <f ca="1">[1]ExtEntry!$I35</f>
        <v>36.625</v>
      </c>
      <c r="AB334" s="283">
        <v>-1257.5999999999767</v>
      </c>
      <c r="AC334" s="283">
        <v>1840</v>
      </c>
      <c r="AD334" s="283">
        <v>-880</v>
      </c>
      <c r="AE334" s="283">
        <v>-4925</v>
      </c>
      <c r="AF334" s="283">
        <v>-4925</v>
      </c>
      <c r="AG334" s="283">
        <v>2250</v>
      </c>
      <c r="AH334" s="283">
        <v>150</v>
      </c>
      <c r="AI334" s="283">
        <v>2700</v>
      </c>
      <c r="AJ334" s="283">
        <v>2650</v>
      </c>
      <c r="AK334" s="283">
        <v>-2320</v>
      </c>
      <c r="AL334" s="283">
        <v>3880</v>
      </c>
      <c r="AM334" s="283">
        <v>-1820</v>
      </c>
      <c r="AN334" s="283">
        <v>-854</v>
      </c>
      <c r="AO334" s="283">
        <v>-2960</v>
      </c>
      <c r="AP334" s="283">
        <v>320</v>
      </c>
      <c r="AQ334" s="283">
        <v>-160</v>
      </c>
      <c r="AR334" s="283">
        <v>-2080</v>
      </c>
      <c r="AS334" s="283">
        <v>1560</v>
      </c>
      <c r="AT334" s="283">
        <v>3244.8000000000175</v>
      </c>
      <c r="AU334" s="283">
        <v>-3160</v>
      </c>
      <c r="AV334" s="283">
        <f ca="1">Calc!AM35</f>
        <v>-3160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5.3101000000000003</v>
      </c>
      <c r="G335" s="271">
        <v>4.5199999999999996</v>
      </c>
      <c r="H335" s="271">
        <v>4.3</v>
      </c>
      <c r="I335" s="271">
        <v>4.42</v>
      </c>
      <c r="J335" s="271">
        <v>4.42</v>
      </c>
      <c r="K335" s="271">
        <v>4.3144</v>
      </c>
      <c r="L335" s="271">
        <v>4.6550000000000002</v>
      </c>
      <c r="M335" s="271">
        <v>4.4800000000000004</v>
      </c>
      <c r="N335" s="271">
        <v>4.47</v>
      </c>
      <c r="O335" s="271">
        <v>4.47</v>
      </c>
      <c r="P335" s="271">
        <v>4.3800999999999997</v>
      </c>
      <c r="Q335" s="271">
        <v>4.43</v>
      </c>
      <c r="R335" s="271">
        <v>4.4800000000000004</v>
      </c>
      <c r="S335" s="271">
        <v>4.3099999999999996</v>
      </c>
      <c r="T335" s="271">
        <v>4.3099999999999996</v>
      </c>
      <c r="U335" s="271">
        <v>4.0199999999999996</v>
      </c>
      <c r="V335" s="271">
        <v>4.05</v>
      </c>
      <c r="W335" s="271">
        <v>3.76</v>
      </c>
      <c r="X335" s="271">
        <v>3.86</v>
      </c>
      <c r="Y335" s="271">
        <v>3.98</v>
      </c>
      <c r="Z335" s="273">
        <f ca="1">[1]ExtEntry!$I36</f>
        <v>3.98</v>
      </c>
      <c r="AB335" s="287">
        <v>-90</v>
      </c>
      <c r="AC335" s="287">
        <v>-939.79999999999927</v>
      </c>
      <c r="AD335" s="287">
        <v>0.2000000000007276</v>
      </c>
      <c r="AE335" s="287">
        <v>-40</v>
      </c>
      <c r="AF335" s="287">
        <v>-40</v>
      </c>
      <c r="AG335" s="287">
        <v>240</v>
      </c>
      <c r="AH335" s="287">
        <v>-100</v>
      </c>
      <c r="AI335" s="287">
        <v>-380</v>
      </c>
      <c r="AJ335" s="287">
        <v>100</v>
      </c>
      <c r="AK335" s="287">
        <v>-120</v>
      </c>
      <c r="AL335" s="287">
        <v>-40</v>
      </c>
      <c r="AM335" s="287">
        <v>-43.199999999998909</v>
      </c>
      <c r="AN335" s="287">
        <v>0</v>
      </c>
      <c r="AO335" s="287">
        <v>-240</v>
      </c>
      <c r="AP335" s="287">
        <v>100</v>
      </c>
      <c r="AQ335" s="287">
        <v>-140</v>
      </c>
      <c r="AR335" s="287">
        <v>19.999999999999091</v>
      </c>
      <c r="AS335" s="287">
        <v>-440</v>
      </c>
      <c r="AT335" s="287">
        <v>180</v>
      </c>
      <c r="AU335" s="287">
        <v>60</v>
      </c>
      <c r="AV335" s="283">
        <f ca="1">Calc!AM36</f>
        <v>60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4.9400000000000004</v>
      </c>
      <c r="G336" s="271">
        <v>4.93</v>
      </c>
      <c r="H336" s="271">
        <v>4.8049999999999997</v>
      </c>
      <c r="I336" s="271">
        <v>4.8699000000000003</v>
      </c>
      <c r="J336" s="271">
        <v>4.8699000000000003</v>
      </c>
      <c r="K336" s="271">
        <v>4.68</v>
      </c>
      <c r="L336" s="271">
        <v>5.3</v>
      </c>
      <c r="M336" s="271">
        <v>5.3</v>
      </c>
      <c r="N336" s="271">
        <v>5.2801</v>
      </c>
      <c r="O336" s="271">
        <v>5.34</v>
      </c>
      <c r="P336" s="271">
        <v>5.3</v>
      </c>
      <c r="Q336" s="271">
        <v>5.07</v>
      </c>
      <c r="R336" s="271">
        <v>5.1749999999999998</v>
      </c>
      <c r="S336" s="271">
        <v>5.0250000000000004</v>
      </c>
      <c r="T336" s="271">
        <v>5.07</v>
      </c>
      <c r="U336" s="271">
        <v>5.2813999999999997</v>
      </c>
      <c r="V336" s="271">
        <v>5.26</v>
      </c>
      <c r="W336" s="271">
        <v>5.2949999999999999</v>
      </c>
      <c r="X336" s="271">
        <v>5.3</v>
      </c>
      <c r="Y336" s="271">
        <v>5.14</v>
      </c>
      <c r="Z336" s="273">
        <f ca="1">[1]ExtEntry!$I37</f>
        <v>5.14</v>
      </c>
      <c r="AB336" s="283">
        <v>-1500</v>
      </c>
      <c r="AC336" s="283">
        <v>-1249.9999999999709</v>
      </c>
      <c r="AD336" s="283">
        <v>-3750.0000000000291</v>
      </c>
      <c r="AE336" s="283">
        <v>-7495</v>
      </c>
      <c r="AF336" s="283">
        <v>-7495</v>
      </c>
      <c r="AG336" s="283">
        <v>6000.0000000000291</v>
      </c>
      <c r="AH336" s="283">
        <v>-6000</v>
      </c>
      <c r="AI336" s="283">
        <v>6000</v>
      </c>
      <c r="AJ336" s="283">
        <v>-1000</v>
      </c>
      <c r="AK336" s="283">
        <v>5905</v>
      </c>
      <c r="AL336" s="283">
        <v>-18500</v>
      </c>
      <c r="AM336" s="283">
        <v>-2999.9999999999709</v>
      </c>
      <c r="AN336" s="283">
        <v>-3495</v>
      </c>
      <c r="AO336" s="283">
        <v>-8000</v>
      </c>
      <c r="AP336" s="283">
        <v>9250</v>
      </c>
      <c r="AQ336" s="283">
        <v>1500</v>
      </c>
      <c r="AR336" s="283">
        <v>-500</v>
      </c>
      <c r="AS336" s="283">
        <v>15000</v>
      </c>
      <c r="AT336" s="283">
        <v>-15250</v>
      </c>
      <c r="AU336" s="283">
        <v>-9500</v>
      </c>
      <c r="AV336" s="283">
        <f ca="1">Calc!AM37</f>
        <v>-9500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1.5509999999999999</v>
      </c>
      <c r="G337" s="271">
        <v>1.51</v>
      </c>
      <c r="H337" s="271">
        <v>1.21</v>
      </c>
      <c r="I337" s="271">
        <v>1.31</v>
      </c>
      <c r="J337" s="271">
        <v>1.31</v>
      </c>
      <c r="K337" s="271">
        <v>1.32</v>
      </c>
      <c r="L337" s="271">
        <v>1.41</v>
      </c>
      <c r="M337" s="271">
        <v>1.41</v>
      </c>
      <c r="N337" s="271">
        <v>1.45</v>
      </c>
      <c r="O337" s="271">
        <v>1.63</v>
      </c>
      <c r="P337" s="271">
        <v>1.1399999999999999</v>
      </c>
      <c r="Q337" s="271">
        <v>1.06</v>
      </c>
      <c r="R337" s="271">
        <v>0.92</v>
      </c>
      <c r="S337" s="271">
        <v>0.92</v>
      </c>
      <c r="T337" s="271">
        <v>0.82420000000000004</v>
      </c>
      <c r="U337" s="271">
        <v>0.96</v>
      </c>
      <c r="V337" s="271">
        <v>0.9103</v>
      </c>
      <c r="W337" s="271">
        <v>0.96</v>
      </c>
      <c r="X337" s="271">
        <v>0.99239999999999995</v>
      </c>
      <c r="Y337" s="271">
        <v>1.02</v>
      </c>
      <c r="Z337" s="273">
        <f ca="1">[1]ExtEntry!$I38</f>
        <v>1.02</v>
      </c>
      <c r="AB337" s="287">
        <v>-100</v>
      </c>
      <c r="AC337" s="287">
        <v>450</v>
      </c>
      <c r="AD337" s="287">
        <v>91.000000000001819</v>
      </c>
      <c r="AE337" s="287">
        <v>-21</v>
      </c>
      <c r="AF337" s="287">
        <v>-21</v>
      </c>
      <c r="AG337" s="287">
        <v>996.99999999999818</v>
      </c>
      <c r="AH337" s="287">
        <v>-400</v>
      </c>
      <c r="AI337" s="287">
        <v>500</v>
      </c>
      <c r="AJ337" s="287">
        <v>1799.9999999999982</v>
      </c>
      <c r="AK337" s="287">
        <v>-950</v>
      </c>
      <c r="AL337" s="287">
        <v>-600</v>
      </c>
      <c r="AM337" s="287">
        <v>-800</v>
      </c>
      <c r="AN337" s="287">
        <v>-941</v>
      </c>
      <c r="AO337" s="287">
        <v>-866</v>
      </c>
      <c r="AP337" s="287">
        <v>-778</v>
      </c>
      <c r="AQ337" s="287">
        <v>-200</v>
      </c>
      <c r="AR337" s="287">
        <v>301</v>
      </c>
      <c r="AS337" s="287">
        <v>300</v>
      </c>
      <c r="AT337" s="287">
        <v>200</v>
      </c>
      <c r="AU337" s="287">
        <v>0</v>
      </c>
      <c r="AV337" s="283">
        <f ca="1">Calc!AM38</f>
        <v>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35.200000000000003</v>
      </c>
      <c r="G338" s="271">
        <v>37.500100000000003</v>
      </c>
      <c r="H338" s="271">
        <v>39.799999999999997</v>
      </c>
      <c r="I338" s="271">
        <v>38.53</v>
      </c>
      <c r="J338" s="271">
        <v>38.53</v>
      </c>
      <c r="K338" s="271">
        <v>38.43</v>
      </c>
      <c r="L338" s="271">
        <v>40.65</v>
      </c>
      <c r="M338" s="271">
        <v>40.200000000000003</v>
      </c>
      <c r="N338" s="271">
        <v>39</v>
      </c>
      <c r="O338" s="271">
        <v>39.274999999999999</v>
      </c>
      <c r="P338" s="271">
        <v>37.81</v>
      </c>
      <c r="Q338" s="271">
        <v>38.04</v>
      </c>
      <c r="R338" s="271">
        <v>38.380000000000003</v>
      </c>
      <c r="S338" s="271">
        <v>37.97</v>
      </c>
      <c r="T338" s="271">
        <v>38.18</v>
      </c>
      <c r="U338" s="271">
        <v>40.67</v>
      </c>
      <c r="V338" s="271">
        <v>35.78</v>
      </c>
      <c r="W338" s="271">
        <v>35.56</v>
      </c>
      <c r="X338" s="271">
        <v>36.21</v>
      </c>
      <c r="Y338" s="271">
        <v>37.130000000000003</v>
      </c>
      <c r="Z338" s="273">
        <f ca="1">[1]ExtEntry!$I39</f>
        <v>37.130000000000003</v>
      </c>
      <c r="AB338" s="283">
        <v>11039.999999999971</v>
      </c>
      <c r="AC338" s="283">
        <v>660</v>
      </c>
      <c r="AD338" s="283">
        <v>4020</v>
      </c>
      <c r="AE338" s="283">
        <v>0</v>
      </c>
      <c r="AF338" s="283">
        <v>0</v>
      </c>
      <c r="AG338" s="283">
        <v>14760</v>
      </c>
      <c r="AH338" s="283">
        <v>-6750.0000000000291</v>
      </c>
      <c r="AI338" s="283">
        <v>2000</v>
      </c>
      <c r="AJ338" s="283">
        <v>-8350.0000000000291</v>
      </c>
      <c r="AK338" s="283">
        <v>1380.0000000000146</v>
      </c>
      <c r="AL338" s="283">
        <v>-300</v>
      </c>
      <c r="AM338" s="283">
        <v>420.40000000000873</v>
      </c>
      <c r="AN338" s="283">
        <v>1880</v>
      </c>
      <c r="AO338" s="283">
        <v>2460</v>
      </c>
      <c r="AP338" s="283">
        <v>-836</v>
      </c>
      <c r="AQ338" s="283">
        <v>-1260</v>
      </c>
      <c r="AR338" s="283">
        <v>-9440</v>
      </c>
      <c r="AS338" s="283">
        <v>840</v>
      </c>
      <c r="AT338" s="283">
        <v>2127.2000000000116</v>
      </c>
      <c r="AU338" s="283">
        <v>360</v>
      </c>
      <c r="AV338" s="283">
        <f ca="1">Calc!AM39</f>
        <v>360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33.86</v>
      </c>
      <c r="G339" s="271">
        <v>34.68</v>
      </c>
      <c r="H339" s="271">
        <v>35.08</v>
      </c>
      <c r="I339" s="271">
        <v>35.15</v>
      </c>
      <c r="J339" s="271">
        <v>35.15</v>
      </c>
      <c r="K339" s="271">
        <v>35.11</v>
      </c>
      <c r="L339" s="271">
        <v>34.869999999999997</v>
      </c>
      <c r="M339" s="271">
        <v>35</v>
      </c>
      <c r="N339" s="271">
        <v>34.81</v>
      </c>
      <c r="O339" s="271">
        <v>34.369999999999997</v>
      </c>
      <c r="P339" s="271">
        <v>34.119999999999997</v>
      </c>
      <c r="Q339" s="271">
        <v>33.770000000000003</v>
      </c>
      <c r="R339" s="271">
        <v>33.72</v>
      </c>
      <c r="S339" s="271">
        <v>34.25</v>
      </c>
      <c r="T339" s="271">
        <v>34.61</v>
      </c>
      <c r="U339" s="271">
        <v>35.340000000000003</v>
      </c>
      <c r="V339" s="271">
        <v>35.56</v>
      </c>
      <c r="W339" s="271">
        <v>35.549999999999997</v>
      </c>
      <c r="X339" s="271">
        <v>35.58</v>
      </c>
      <c r="Y339" s="271">
        <v>35.72</v>
      </c>
      <c r="Z339" s="273">
        <f ca="1">[1]ExtEntry!$I40</f>
        <v>35.72</v>
      </c>
      <c r="AB339" s="287">
        <v>-3.5</v>
      </c>
      <c r="AC339" s="287">
        <v>18</v>
      </c>
      <c r="AD339" s="287">
        <v>6.0000000000002274</v>
      </c>
      <c r="AE339" s="287">
        <v>-4.5</v>
      </c>
      <c r="AF339" s="287">
        <v>-4.5</v>
      </c>
      <c r="AG339" s="287">
        <v>1.4999999999995453</v>
      </c>
      <c r="AH339" s="287">
        <v>8.5</v>
      </c>
      <c r="AI339" s="287">
        <v>-17.5</v>
      </c>
      <c r="AJ339" s="287">
        <v>-4</v>
      </c>
      <c r="AK339" s="287">
        <v>-19.5</v>
      </c>
      <c r="AL339" s="287">
        <v>12.5</v>
      </c>
      <c r="AM339" s="287">
        <v>-27</v>
      </c>
      <c r="AN339" s="287">
        <v>-1.5000000000002274</v>
      </c>
      <c r="AO339" s="287">
        <v>25</v>
      </c>
      <c r="AP339" s="287">
        <v>11.499999999999773</v>
      </c>
      <c r="AQ339" s="287">
        <v>14.5</v>
      </c>
      <c r="AR339" s="287">
        <v>-5.5</v>
      </c>
      <c r="AS339" s="287">
        <v>9.5</v>
      </c>
      <c r="AT339" s="287">
        <v>-7.5</v>
      </c>
      <c r="AU339" s="287">
        <v>-1.0000000000002274</v>
      </c>
      <c r="AV339" s="283">
        <f ca="1">Calc!AM40</f>
        <v>-1.0000000000002274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238.3</v>
      </c>
      <c r="G340" s="271">
        <v>237.35</v>
      </c>
      <c r="H340" s="271">
        <v>235.45</v>
      </c>
      <c r="I340" s="271">
        <v>235.85</v>
      </c>
      <c r="J340" s="271">
        <v>235.85</v>
      </c>
      <c r="K340" s="271">
        <v>231.65</v>
      </c>
      <c r="L340" s="271">
        <v>230.85</v>
      </c>
      <c r="M340" s="271">
        <v>231.7</v>
      </c>
      <c r="N340" s="271">
        <v>230.95</v>
      </c>
      <c r="O340" s="271">
        <v>235</v>
      </c>
      <c r="P340" s="271">
        <v>231.9</v>
      </c>
      <c r="Q340" s="271">
        <v>227.45</v>
      </c>
      <c r="R340" s="271">
        <v>229.2</v>
      </c>
      <c r="S340" s="271">
        <v>231.6</v>
      </c>
      <c r="T340" s="271">
        <v>231.25</v>
      </c>
      <c r="U340" s="271">
        <v>228.2</v>
      </c>
      <c r="V340" s="271">
        <v>228.4</v>
      </c>
      <c r="W340" s="271">
        <v>222.95</v>
      </c>
      <c r="X340" s="271">
        <v>218.9</v>
      </c>
      <c r="Y340" s="271">
        <v>219.2</v>
      </c>
      <c r="Z340" s="273">
        <f ca="1">[1]ExtEntry!$I41</f>
        <v>219.2</v>
      </c>
      <c r="AB340" s="283">
        <v>1000</v>
      </c>
      <c r="AC340" s="283">
        <v>-2250</v>
      </c>
      <c r="AD340" s="283">
        <v>-3125</v>
      </c>
      <c r="AE340" s="283">
        <v>-1125</v>
      </c>
      <c r="AF340" s="283">
        <v>-1125</v>
      </c>
      <c r="AG340" s="283">
        <v>875</v>
      </c>
      <c r="AH340" s="283">
        <v>3250</v>
      </c>
      <c r="AI340" s="283">
        <v>0</v>
      </c>
      <c r="AJ340" s="283">
        <v>13500</v>
      </c>
      <c r="AK340" s="283">
        <v>-1000</v>
      </c>
      <c r="AL340" s="283">
        <v>2375</v>
      </c>
      <c r="AM340" s="283">
        <v>-11500</v>
      </c>
      <c r="AN340" s="283">
        <v>750</v>
      </c>
      <c r="AO340" s="283">
        <v>6250</v>
      </c>
      <c r="AP340" s="283">
        <v>-3250</v>
      </c>
      <c r="AQ340" s="283">
        <v>2500</v>
      </c>
      <c r="AR340" s="283">
        <v>1500</v>
      </c>
      <c r="AS340" s="283">
        <v>-28250</v>
      </c>
      <c r="AT340" s="283">
        <v>-5500</v>
      </c>
      <c r="AU340" s="283">
        <v>2500</v>
      </c>
      <c r="AV340" s="283">
        <f ca="1">Calc!AM41</f>
        <v>2500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14.96</v>
      </c>
      <c r="G341" s="271">
        <v>15.31</v>
      </c>
      <c r="H341" s="271">
        <v>15.13</v>
      </c>
      <c r="I341" s="271">
        <v>15.57</v>
      </c>
      <c r="J341" s="271">
        <v>15.57</v>
      </c>
      <c r="K341" s="271">
        <v>15.6</v>
      </c>
      <c r="L341" s="271">
        <v>15.17</v>
      </c>
      <c r="M341" s="271">
        <v>15.5625</v>
      </c>
      <c r="N341" s="271">
        <v>15.39</v>
      </c>
      <c r="O341" s="271">
        <v>15.3</v>
      </c>
      <c r="P341" s="271">
        <v>15.24</v>
      </c>
      <c r="Q341" s="271">
        <v>14.61</v>
      </c>
      <c r="R341" s="271">
        <v>14.43</v>
      </c>
      <c r="S341" s="271">
        <v>14.43</v>
      </c>
      <c r="T341" s="271">
        <v>14.464</v>
      </c>
      <c r="U341" s="271">
        <v>14.945</v>
      </c>
      <c r="V341" s="271">
        <v>14.49</v>
      </c>
      <c r="W341" s="271">
        <v>14.5</v>
      </c>
      <c r="X341" s="271">
        <v>14.5</v>
      </c>
      <c r="Y341" s="271">
        <v>14.83</v>
      </c>
      <c r="Z341" s="273">
        <f ca="1">[1]ExtEntry!$I42</f>
        <v>14.83</v>
      </c>
      <c r="AB341" s="287">
        <v>-18745.000000000058</v>
      </c>
      <c r="AC341" s="287">
        <v>8740</v>
      </c>
      <c r="AD341" s="287">
        <v>12190</v>
      </c>
      <c r="AE341" s="287">
        <v>-15870</v>
      </c>
      <c r="AF341" s="287">
        <v>-15870</v>
      </c>
      <c r="AG341" s="287">
        <v>-1610</v>
      </c>
      <c r="AH341" s="287">
        <v>9197.7000000000116</v>
      </c>
      <c r="AI341" s="287">
        <v>3162.5</v>
      </c>
      <c r="AJ341" s="287">
        <v>2990</v>
      </c>
      <c r="AK341" s="287">
        <v>-13570</v>
      </c>
      <c r="AL341" s="287">
        <v>-2300</v>
      </c>
      <c r="AM341" s="287">
        <v>10350</v>
      </c>
      <c r="AN341" s="287">
        <v>14027.700000000012</v>
      </c>
      <c r="AO341" s="287">
        <v>16097.700000000012</v>
      </c>
      <c r="AP341" s="287">
        <v>10258</v>
      </c>
      <c r="AQ341" s="287">
        <v>3795</v>
      </c>
      <c r="AR341" s="287">
        <v>9660</v>
      </c>
      <c r="AS341" s="287">
        <v>9200</v>
      </c>
      <c r="AT341" s="287">
        <v>8855</v>
      </c>
      <c r="AU341" s="287">
        <v>-1150</v>
      </c>
      <c r="AV341" s="283">
        <f ca="1">Calc!AM42</f>
        <v>-1150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9.15</v>
      </c>
      <c r="G342" s="271">
        <v>9.18</v>
      </c>
      <c r="H342" s="271">
        <v>9.2584</v>
      </c>
      <c r="I342" s="271">
        <v>9.85</v>
      </c>
      <c r="J342" s="271">
        <v>9.85</v>
      </c>
      <c r="K342" s="271">
        <v>10.28</v>
      </c>
      <c r="L342" s="271">
        <v>10.808199999999999</v>
      </c>
      <c r="M342" s="271">
        <v>10.661</v>
      </c>
      <c r="N342" s="271">
        <v>10.45</v>
      </c>
      <c r="O342" s="271">
        <v>11.000299999999999</v>
      </c>
      <c r="P342" s="271">
        <v>10.55</v>
      </c>
      <c r="Q342" s="271">
        <v>10.23</v>
      </c>
      <c r="R342" s="271">
        <v>10.2879</v>
      </c>
      <c r="S342" s="271">
        <v>10.025</v>
      </c>
      <c r="T342" s="271">
        <v>9.9600000000000009</v>
      </c>
      <c r="U342" s="271">
        <v>10.17</v>
      </c>
      <c r="V342" s="271">
        <v>9.9700000000000006</v>
      </c>
      <c r="W342" s="271">
        <v>9.6199999999999992</v>
      </c>
      <c r="X342" s="271">
        <v>9.73</v>
      </c>
      <c r="Y342" s="271">
        <v>9.68</v>
      </c>
      <c r="Z342" s="273">
        <f ca="1">[1]ExtEntry!$I43</f>
        <v>9.68</v>
      </c>
      <c r="AB342" s="283">
        <v>-8320</v>
      </c>
      <c r="AC342" s="283">
        <v>1115.1999999999825</v>
      </c>
      <c r="AD342" s="283">
        <v>-2240</v>
      </c>
      <c r="AE342" s="283">
        <v>11680</v>
      </c>
      <c r="AF342" s="283">
        <v>11680</v>
      </c>
      <c r="AG342" s="283">
        <v>-7920</v>
      </c>
      <c r="AH342" s="283">
        <v>-1440</v>
      </c>
      <c r="AI342" s="283">
        <v>-2400</v>
      </c>
      <c r="AJ342" s="283">
        <v>3360</v>
      </c>
      <c r="AK342" s="283">
        <v>1280</v>
      </c>
      <c r="AL342" s="283">
        <v>-8800</v>
      </c>
      <c r="AM342" s="283">
        <v>-2400</v>
      </c>
      <c r="AN342" s="283">
        <v>-1440</v>
      </c>
      <c r="AO342" s="283">
        <v>-3840</v>
      </c>
      <c r="AP342" s="283">
        <v>480</v>
      </c>
      <c r="AQ342" s="283">
        <v>960</v>
      </c>
      <c r="AR342" s="283">
        <v>-1440</v>
      </c>
      <c r="AS342" s="283">
        <v>-5120</v>
      </c>
      <c r="AT342" s="283">
        <v>1680</v>
      </c>
      <c r="AU342" s="283">
        <v>-320</v>
      </c>
      <c r="AV342" s="283">
        <f ca="1">Calc!AM43</f>
        <v>-320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330.4</v>
      </c>
      <c r="G343" s="271">
        <v>331.85</v>
      </c>
      <c r="H343" s="271">
        <v>329.59</v>
      </c>
      <c r="I343" s="271">
        <v>327.85</v>
      </c>
      <c r="J343" s="271">
        <v>327.85</v>
      </c>
      <c r="K343" s="271">
        <v>314.60000000000002</v>
      </c>
      <c r="L343" s="271">
        <v>335.03</v>
      </c>
      <c r="M343" s="271">
        <v>343.72</v>
      </c>
      <c r="N343" s="271">
        <v>349.15600000000001</v>
      </c>
      <c r="O343" s="271">
        <v>343.55</v>
      </c>
      <c r="P343" s="271">
        <v>331.7</v>
      </c>
      <c r="Q343" s="271">
        <v>325.60000000000002</v>
      </c>
      <c r="R343" s="271">
        <v>328.51</v>
      </c>
      <c r="S343" s="271">
        <v>328.51</v>
      </c>
      <c r="T343" s="271">
        <v>331.48</v>
      </c>
      <c r="U343" s="271">
        <v>344.84</v>
      </c>
      <c r="V343" s="271">
        <v>343.82</v>
      </c>
      <c r="W343" s="271">
        <v>346.07</v>
      </c>
      <c r="X343" s="271">
        <v>347.6</v>
      </c>
      <c r="Y343" s="271">
        <v>370.24</v>
      </c>
      <c r="Z343" s="273">
        <f ca="1">[1]ExtEntry!$I44</f>
        <v>370.24</v>
      </c>
      <c r="AB343" s="287">
        <v>-43.550000000000182</v>
      </c>
      <c r="AC343" s="287">
        <v>-46.050000000000182</v>
      </c>
      <c r="AD343" s="287">
        <v>28.557999999999993</v>
      </c>
      <c r="AE343" s="287">
        <v>-59.367999999999938</v>
      </c>
      <c r="AF343" s="287">
        <v>-59.367999999999938</v>
      </c>
      <c r="AG343" s="287">
        <v>-53.200000000000273</v>
      </c>
      <c r="AH343" s="287">
        <v>77</v>
      </c>
      <c r="AI343" s="287">
        <v>67.400000000000091</v>
      </c>
      <c r="AJ343" s="287">
        <v>-23.400000000000091</v>
      </c>
      <c r="AK343" s="287">
        <v>-59.420000000000073</v>
      </c>
      <c r="AL343" s="287">
        <v>-133.60000000000036</v>
      </c>
      <c r="AM343" s="287">
        <v>-5.1679999999996653</v>
      </c>
      <c r="AN343" s="287">
        <v>-26.900000000000091</v>
      </c>
      <c r="AO343" s="287">
        <v>-11.100000000000364</v>
      </c>
      <c r="AP343" s="287">
        <v>23.799999999999727</v>
      </c>
      <c r="AQ343" s="287">
        <v>-82.399999999999636</v>
      </c>
      <c r="AR343" s="287">
        <v>-14.699999999999818</v>
      </c>
      <c r="AS343" s="287">
        <v>-27.599999999999909</v>
      </c>
      <c r="AT343" s="287">
        <v>184.10000000000036</v>
      </c>
      <c r="AU343" s="287">
        <v>250</v>
      </c>
      <c r="AV343" s="283">
        <f ca="1">Calc!AM44</f>
        <v>250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236.82</v>
      </c>
      <c r="G344" s="271">
        <v>237.26</v>
      </c>
      <c r="H344" s="271">
        <v>240</v>
      </c>
      <c r="I344" s="271">
        <v>233.37039999999999</v>
      </c>
      <c r="J344" s="271">
        <v>233.37039999999999</v>
      </c>
      <c r="K344" s="271">
        <v>223.7</v>
      </c>
      <c r="L344" s="271">
        <v>232.2501</v>
      </c>
      <c r="M344" s="271">
        <v>235.73</v>
      </c>
      <c r="N344" s="271">
        <v>235.43559999999999</v>
      </c>
      <c r="O344" s="271">
        <v>235.91</v>
      </c>
      <c r="P344" s="271">
        <v>230.58</v>
      </c>
      <c r="Q344" s="271">
        <v>225.6301</v>
      </c>
      <c r="R344" s="271">
        <v>228.6</v>
      </c>
      <c r="S344" s="271">
        <v>228.6</v>
      </c>
      <c r="T344" s="271">
        <v>230.3</v>
      </c>
      <c r="U344" s="271">
        <v>241.62</v>
      </c>
      <c r="V344" s="271">
        <v>246.93</v>
      </c>
      <c r="W344" s="271">
        <v>257.75</v>
      </c>
      <c r="X344" s="271">
        <v>258.23009999999999</v>
      </c>
      <c r="Y344" s="271">
        <v>258.38</v>
      </c>
      <c r="Z344" s="273">
        <f ca="1">[1]ExtEntry!$I45</f>
        <v>258.38</v>
      </c>
      <c r="AB344" s="283">
        <v>9020</v>
      </c>
      <c r="AC344" s="283">
        <v>-6043.3999999999069</v>
      </c>
      <c r="AD344" s="283">
        <v>5156.25</v>
      </c>
      <c r="AE344" s="283">
        <v>-34650</v>
      </c>
      <c r="AF344" s="283">
        <v>-34650</v>
      </c>
      <c r="AG344" s="283">
        <v>3300</v>
      </c>
      <c r="AH344" s="283">
        <v>7260</v>
      </c>
      <c r="AI344" s="283">
        <v>11825</v>
      </c>
      <c r="AJ344" s="283">
        <v>13145</v>
      </c>
      <c r="AK344" s="283">
        <v>11770</v>
      </c>
      <c r="AL344" s="283">
        <v>-27335</v>
      </c>
      <c r="AM344" s="283">
        <v>1567.5</v>
      </c>
      <c r="AN344" s="283">
        <v>-5280</v>
      </c>
      <c r="AO344" s="283">
        <v>-687.5</v>
      </c>
      <c r="AP344" s="283">
        <v>21230</v>
      </c>
      <c r="AQ344" s="283">
        <v>28545</v>
      </c>
      <c r="AR344" s="283">
        <v>21725</v>
      </c>
      <c r="AS344" s="283">
        <v>8525</v>
      </c>
      <c r="AT344" s="283">
        <v>-9459.9999999997672</v>
      </c>
      <c r="AU344" s="283">
        <v>-8085.0000000002328</v>
      </c>
      <c r="AV344" s="283">
        <f ca="1">Calc!AM45</f>
        <v>-8085.0000000002328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37.450000000000003</v>
      </c>
      <c r="G345" s="271">
        <v>37.549999999999997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37.35</v>
      </c>
      <c r="M345" s="271">
        <v>37.5</v>
      </c>
      <c r="N345" s="271">
        <v>37.1</v>
      </c>
      <c r="O345" s="271">
        <v>37.700000000000003</v>
      </c>
      <c r="P345" s="271">
        <v>36.549999999999997</v>
      </c>
      <c r="Q345" s="271">
        <v>35.299999999999997</v>
      </c>
      <c r="R345" s="271">
        <v>35.549999999999997</v>
      </c>
      <c r="S345" s="271">
        <v>35.65</v>
      </c>
      <c r="T345" s="271">
        <v>36.25</v>
      </c>
      <c r="U345" s="271">
        <v>35.200000000000003</v>
      </c>
      <c r="V345" s="271">
        <v>35.450000000000003</v>
      </c>
      <c r="W345" s="271">
        <v>35.65</v>
      </c>
      <c r="X345" s="271">
        <v>35.35</v>
      </c>
      <c r="Y345" s="271">
        <v>35.450000000000003</v>
      </c>
      <c r="Z345" s="273">
        <f ca="1">[1]ExtEntry!$I46</f>
        <v>35.450000000000003</v>
      </c>
      <c r="AB345" s="287">
        <v>-599.99999999998545</v>
      </c>
      <c r="AC345" s="287">
        <v>1950.0000000000291</v>
      </c>
      <c r="AD345" s="287">
        <v>-150.00000000001455</v>
      </c>
      <c r="AE345" s="287">
        <v>-750</v>
      </c>
      <c r="AF345" s="287">
        <v>-750</v>
      </c>
      <c r="AG345" s="287">
        <v>300.00000000001455</v>
      </c>
      <c r="AH345" s="287">
        <v>3450</v>
      </c>
      <c r="AI345" s="287">
        <v>-450</v>
      </c>
      <c r="AJ345" s="287">
        <v>-900</v>
      </c>
      <c r="AK345" s="287">
        <v>0</v>
      </c>
      <c r="AL345" s="287">
        <v>-1200.0000000000291</v>
      </c>
      <c r="AM345" s="287">
        <v>-2550.0000000000146</v>
      </c>
      <c r="AN345" s="287">
        <v>750</v>
      </c>
      <c r="AO345" s="287">
        <v>-750</v>
      </c>
      <c r="AP345" s="287">
        <v>1050</v>
      </c>
      <c r="AQ345" s="287">
        <v>-899.99999999998545</v>
      </c>
      <c r="AR345" s="287">
        <v>449.99999999998545</v>
      </c>
      <c r="AS345" s="287">
        <v>1649.9999999999854</v>
      </c>
      <c r="AT345" s="287">
        <v>-5099.9999999999854</v>
      </c>
      <c r="AU345" s="287">
        <v>2250</v>
      </c>
      <c r="AV345" s="283">
        <f ca="1">Calc!AM46</f>
        <v>2250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6.3449999999999998</v>
      </c>
      <c r="G346" s="271">
        <v>6.18</v>
      </c>
      <c r="H346" s="271">
        <v>6.165</v>
      </c>
      <c r="I346" s="271">
        <v>6.1349999999999998</v>
      </c>
      <c r="J346" s="271">
        <v>6.1349999999999998</v>
      </c>
      <c r="K346" s="271">
        <v>6.07</v>
      </c>
      <c r="L346" s="271">
        <v>6.27</v>
      </c>
      <c r="M346" s="271">
        <v>6.25</v>
      </c>
      <c r="N346" s="271">
        <v>6.38</v>
      </c>
      <c r="O346" s="271">
        <v>6.6501000000000001</v>
      </c>
      <c r="P346" s="271">
        <v>6.27</v>
      </c>
      <c r="Q346" s="271">
        <v>6.01</v>
      </c>
      <c r="R346" s="271">
        <v>5.6849999999999996</v>
      </c>
      <c r="S346" s="271">
        <v>5.6849999999999996</v>
      </c>
      <c r="T346" s="271">
        <v>5.96</v>
      </c>
      <c r="U346" s="271">
        <v>6.4649999999999999</v>
      </c>
      <c r="V346" s="271">
        <v>7.0350000000000001</v>
      </c>
      <c r="W346" s="271">
        <v>6.84</v>
      </c>
      <c r="X346" s="271">
        <v>6.77</v>
      </c>
      <c r="Y346" s="271">
        <v>6.8250000000000002</v>
      </c>
      <c r="Z346" s="273">
        <f ca="1">[1]ExtEntry!$I47</f>
        <v>6.8250000000000002</v>
      </c>
      <c r="AB346" s="283">
        <v>-651.15000000000146</v>
      </c>
      <c r="AC346" s="283">
        <v>-1844.9250000000029</v>
      </c>
      <c r="AD346" s="283">
        <v>-1121.4250000000029</v>
      </c>
      <c r="AE346" s="283">
        <v>-361.75</v>
      </c>
      <c r="AF346" s="283">
        <v>-361.75</v>
      </c>
      <c r="AG346" s="283">
        <v>-940.55000000000291</v>
      </c>
      <c r="AH346" s="283">
        <v>-1229.9499999999971</v>
      </c>
      <c r="AI346" s="283">
        <v>1591.7000000000044</v>
      </c>
      <c r="AJ346" s="283">
        <v>940.54999999999563</v>
      </c>
      <c r="AK346" s="283">
        <v>1012.9000000000015</v>
      </c>
      <c r="AL346" s="283">
        <v>-2098.1500000000015</v>
      </c>
      <c r="AM346" s="283">
        <v>-1483.1750000000029</v>
      </c>
      <c r="AN346" s="283">
        <v>1772.5750000000044</v>
      </c>
      <c r="AO346" s="283">
        <v>2098.1500000000015</v>
      </c>
      <c r="AP346" s="283">
        <v>1302.2999999999956</v>
      </c>
      <c r="AQ346" s="283">
        <v>13836.554999999993</v>
      </c>
      <c r="AR346" s="283">
        <v>-1989.570000000007</v>
      </c>
      <c r="AS346" s="283">
        <v>-3436.5299999999988</v>
      </c>
      <c r="AT346" s="283">
        <v>4793.054999999993</v>
      </c>
      <c r="AU346" s="283">
        <v>-3255.6599999999889</v>
      </c>
      <c r="AV346" s="283">
        <f ca="1">Calc!AM47</f>
        <v>-3255.6599999999889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307.00009999999997</v>
      </c>
      <c r="G347" s="271">
        <v>302.52999999999997</v>
      </c>
      <c r="H347" s="271">
        <v>299</v>
      </c>
      <c r="I347" s="271">
        <v>292.39999999999998</v>
      </c>
      <c r="J347" s="271">
        <v>292.39999999999998</v>
      </c>
      <c r="K347" s="271">
        <v>281.87</v>
      </c>
      <c r="L347" s="271">
        <v>291.70999999999998</v>
      </c>
      <c r="M347" s="271">
        <v>293.99</v>
      </c>
      <c r="N347" s="271">
        <v>293.77999999999997</v>
      </c>
      <c r="O347" s="271">
        <v>302.33300000000003</v>
      </c>
      <c r="P347" s="271">
        <v>293.66000000000003</v>
      </c>
      <c r="Q347" s="271">
        <v>287.11</v>
      </c>
      <c r="R347" s="271">
        <v>296.39999999999998</v>
      </c>
      <c r="S347" s="271">
        <v>296.39999999999998</v>
      </c>
      <c r="T347" s="271">
        <v>302.25009999999997</v>
      </c>
      <c r="U347" s="271">
        <v>341.25009999999997</v>
      </c>
      <c r="V347" s="271">
        <v>335.83</v>
      </c>
      <c r="W347" s="271">
        <v>350.55</v>
      </c>
      <c r="X347" s="271">
        <v>358.7604</v>
      </c>
      <c r="Y347" s="271">
        <v>357.16</v>
      </c>
      <c r="Z347" s="273">
        <f ca="1">[1]ExtEntry!$I48</f>
        <v>357.16</v>
      </c>
      <c r="AB347" s="287">
        <v>745.49999999998545</v>
      </c>
      <c r="AC347" s="287">
        <v>-2061.5</v>
      </c>
      <c r="AD347" s="287">
        <v>84.175000000017462</v>
      </c>
      <c r="AE347" s="287">
        <v>-2854.25</v>
      </c>
      <c r="AF347" s="287">
        <v>-2854.25</v>
      </c>
      <c r="AG347" s="287">
        <v>-1501.5</v>
      </c>
      <c r="AH347" s="287">
        <v>497</v>
      </c>
      <c r="AI347" s="287">
        <v>1280.9999999999854</v>
      </c>
      <c r="AJ347" s="287">
        <v>970.41000000000349</v>
      </c>
      <c r="AK347" s="287">
        <v>2075.5</v>
      </c>
      <c r="AL347" s="287">
        <v>-3367</v>
      </c>
      <c r="AM347" s="287">
        <v>2107.0350000000035</v>
      </c>
      <c r="AN347" s="287">
        <v>-997.5</v>
      </c>
      <c r="AO347" s="287">
        <v>35</v>
      </c>
      <c r="AP347" s="287">
        <v>364.00000000001455</v>
      </c>
      <c r="AQ347" s="287">
        <v>1014.9999999999854</v>
      </c>
      <c r="AR347" s="287">
        <v>-4506.25</v>
      </c>
      <c r="AS347" s="287">
        <v>6317.5</v>
      </c>
      <c r="AT347" s="287">
        <v>-4077.5</v>
      </c>
      <c r="AU347" s="287">
        <v>-1064.0000000000146</v>
      </c>
      <c r="AV347" s="283">
        <f ca="1">Calc!AM48</f>
        <v>-1064.0000000000146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30.17</v>
      </c>
      <c r="G348" s="271">
        <v>30.61</v>
      </c>
      <c r="H348" s="271">
        <v>30.202000000000002</v>
      </c>
      <c r="I348" s="271">
        <v>30.77</v>
      </c>
      <c r="J348" s="271">
        <v>30.77</v>
      </c>
      <c r="K348" s="271">
        <v>30.8001</v>
      </c>
      <c r="L348" s="271">
        <v>30.79</v>
      </c>
      <c r="M348" s="271">
        <v>30.710999999999999</v>
      </c>
      <c r="N348" s="271">
        <v>30.29</v>
      </c>
      <c r="O348" s="271">
        <v>30.704999999999998</v>
      </c>
      <c r="P348" s="271">
        <v>30.59</v>
      </c>
      <c r="Q348" s="271">
        <v>29.470500000000001</v>
      </c>
      <c r="R348" s="271">
        <v>29.277999999999999</v>
      </c>
      <c r="S348" s="271">
        <v>29.23</v>
      </c>
      <c r="T348" s="271">
        <v>29</v>
      </c>
      <c r="U348" s="271">
        <v>28.809000000000001</v>
      </c>
      <c r="V348" s="271">
        <v>29.069500000000001</v>
      </c>
      <c r="W348" s="271">
        <v>29.05</v>
      </c>
      <c r="X348" s="271">
        <v>29.07</v>
      </c>
      <c r="Y348" s="271">
        <v>29.2</v>
      </c>
      <c r="Z348" s="273">
        <f ca="1">[1]ExtEntry!$I49</f>
        <v>29.2</v>
      </c>
      <c r="AB348" s="283">
        <v>22.5</v>
      </c>
      <c r="AC348" s="283">
        <v>-67.5</v>
      </c>
      <c r="AD348" s="283">
        <v>-183</v>
      </c>
      <c r="AE348" s="283">
        <v>56.25</v>
      </c>
      <c r="AF348" s="283">
        <v>56.25</v>
      </c>
      <c r="AG348" s="283">
        <v>60</v>
      </c>
      <c r="AH348" s="283">
        <v>-693</v>
      </c>
      <c r="AI348" s="283">
        <v>150</v>
      </c>
      <c r="AJ348" s="283">
        <v>90</v>
      </c>
      <c r="AK348" s="283">
        <v>-97.5</v>
      </c>
      <c r="AL348" s="283">
        <v>13.5</v>
      </c>
      <c r="AM348" s="283">
        <v>-270</v>
      </c>
      <c r="AN348" s="283">
        <v>-87</v>
      </c>
      <c r="AO348" s="283">
        <v>-15</v>
      </c>
      <c r="AP348" s="283">
        <v>120</v>
      </c>
      <c r="AQ348" s="283">
        <v>375</v>
      </c>
      <c r="AR348" s="283">
        <v>124.5</v>
      </c>
      <c r="AS348" s="283">
        <v>-30</v>
      </c>
      <c r="AT348" s="283">
        <v>682.5</v>
      </c>
      <c r="AU348" s="283">
        <v>-54.150000000001455</v>
      </c>
      <c r="AV348" s="283">
        <f ca="1">Calc!AM49</f>
        <v>-54.150000000001455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</v>
      </c>
      <c r="H349" s="271">
        <v>60.2</v>
      </c>
      <c r="I349" s="271">
        <v>60.8</v>
      </c>
      <c r="J349" s="271">
        <v>60.8</v>
      </c>
      <c r="K349" s="271">
        <v>60.4</v>
      </c>
      <c r="L349" s="271">
        <v>61.4</v>
      </c>
      <c r="M349" s="271">
        <v>60.8</v>
      </c>
      <c r="N349" s="271">
        <v>60.9</v>
      </c>
      <c r="O349" s="271">
        <v>61.3</v>
      </c>
      <c r="P349" s="271">
        <v>60.6</v>
      </c>
      <c r="Q349" s="271">
        <v>60.1</v>
      </c>
      <c r="R349" s="271">
        <v>60.3</v>
      </c>
      <c r="S349" s="271">
        <v>60</v>
      </c>
      <c r="T349" s="271">
        <v>61.4</v>
      </c>
      <c r="U349" s="271">
        <v>61.3</v>
      </c>
      <c r="V349" s="271">
        <v>61.3</v>
      </c>
      <c r="W349" s="271">
        <v>61.6</v>
      </c>
      <c r="X349" s="271">
        <v>61.3</v>
      </c>
      <c r="Y349" s="271">
        <v>61.1</v>
      </c>
      <c r="Z349" s="273">
        <f ca="1">[1]ExtEntry!$I50</f>
        <v>61.1</v>
      </c>
      <c r="AB349" s="287">
        <v>-1401</v>
      </c>
      <c r="AC349" s="287">
        <v>-1401</v>
      </c>
      <c r="AD349" s="287">
        <v>9807</v>
      </c>
      <c r="AE349" s="287">
        <v>5604</v>
      </c>
      <c r="AF349" s="287">
        <v>5604</v>
      </c>
      <c r="AG349" s="287">
        <v>-8406</v>
      </c>
      <c r="AH349" s="287">
        <v>-1401</v>
      </c>
      <c r="AI349" s="287">
        <v>2802</v>
      </c>
      <c r="AJ349" s="287">
        <v>5604</v>
      </c>
      <c r="AK349" s="287">
        <v>-2802</v>
      </c>
      <c r="AL349" s="287">
        <v>1401</v>
      </c>
      <c r="AM349" s="287">
        <v>-11208</v>
      </c>
      <c r="AN349" s="287">
        <v>0</v>
      </c>
      <c r="AO349" s="287">
        <v>21015</v>
      </c>
      <c r="AP349" s="287">
        <v>7800</v>
      </c>
      <c r="AQ349" s="287">
        <v>3900</v>
      </c>
      <c r="AR349" s="287">
        <v>-1300</v>
      </c>
      <c r="AS349" s="287">
        <v>-3900</v>
      </c>
      <c r="AT349" s="287">
        <v>-6500</v>
      </c>
      <c r="AU349" s="287">
        <v>-3900</v>
      </c>
      <c r="AV349" s="283">
        <f ca="1">Calc!AM50</f>
        <v>-3900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10.29</v>
      </c>
      <c r="G350" s="271">
        <v>10.5501</v>
      </c>
      <c r="H350" s="271">
        <v>10.62</v>
      </c>
      <c r="I350" s="271">
        <v>10.58</v>
      </c>
      <c r="J350" s="271">
        <v>10.58</v>
      </c>
      <c r="K350" s="271">
        <v>10.55</v>
      </c>
      <c r="L350" s="271">
        <v>10.5</v>
      </c>
      <c r="M350" s="271">
        <v>10.36</v>
      </c>
      <c r="N350" s="271">
        <v>10.31</v>
      </c>
      <c r="O350" s="271">
        <v>10.23</v>
      </c>
      <c r="P350" s="271">
        <v>10.4</v>
      </c>
      <c r="Q350" s="271">
        <v>10.43</v>
      </c>
      <c r="R350" s="271">
        <v>10.49</v>
      </c>
      <c r="S350" s="271">
        <v>10.46</v>
      </c>
      <c r="T350" s="271">
        <v>10.29</v>
      </c>
      <c r="U350" s="271">
        <v>10.33</v>
      </c>
      <c r="V350" s="271">
        <v>10.365</v>
      </c>
      <c r="W350" s="271">
        <v>10.199999999999999</v>
      </c>
      <c r="X350" s="271">
        <v>10.085000000000001</v>
      </c>
      <c r="Y350" s="271">
        <v>9.94</v>
      </c>
      <c r="Z350" s="273">
        <f ca="1">[1]ExtEntry!$I51</f>
        <v>9.94</v>
      </c>
      <c r="AB350" s="283">
        <v>1800</v>
      </c>
      <c r="AC350" s="283">
        <v>-1700</v>
      </c>
      <c r="AD350" s="283">
        <v>1100.0000000000146</v>
      </c>
      <c r="AE350" s="283">
        <v>-450</v>
      </c>
      <c r="AF350" s="283">
        <v>-450</v>
      </c>
      <c r="AG350" s="283">
        <v>-500</v>
      </c>
      <c r="AH350" s="283">
        <v>-150</v>
      </c>
      <c r="AI350" s="283">
        <v>-550</v>
      </c>
      <c r="AJ350" s="283">
        <v>100</v>
      </c>
      <c r="AK350" s="283">
        <v>-800.5</v>
      </c>
      <c r="AL350" s="283">
        <v>700</v>
      </c>
      <c r="AM350" s="283">
        <v>-50</v>
      </c>
      <c r="AN350" s="283">
        <v>175</v>
      </c>
      <c r="AO350" s="283">
        <v>200</v>
      </c>
      <c r="AP350" s="283">
        <v>-900</v>
      </c>
      <c r="AQ350" s="283">
        <v>99.999999999992724</v>
      </c>
      <c r="AR350" s="283">
        <v>150</v>
      </c>
      <c r="AS350" s="283">
        <v>-750</v>
      </c>
      <c r="AT350" s="283">
        <v>-550</v>
      </c>
      <c r="AU350" s="283">
        <v>-649.99999999999272</v>
      </c>
      <c r="AV350" s="283">
        <f ca="1">Calc!AM51</f>
        <v>-649.99999999999272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11.86</v>
      </c>
      <c r="G351" s="271">
        <v>12.02</v>
      </c>
      <c r="H351" s="271">
        <v>11.94</v>
      </c>
      <c r="I351" s="271">
        <v>11.98</v>
      </c>
      <c r="J351" s="271">
        <v>11.98</v>
      </c>
      <c r="K351" s="271">
        <v>12.03</v>
      </c>
      <c r="L351" s="271">
        <v>11.87</v>
      </c>
      <c r="M351" s="271">
        <v>11.88</v>
      </c>
      <c r="N351" s="271">
        <v>11.9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285</v>
      </c>
      <c r="AC351" s="287">
        <v>-16.80000000000291</v>
      </c>
      <c r="AD351" s="287">
        <v>135</v>
      </c>
      <c r="AE351" s="287">
        <v>195</v>
      </c>
      <c r="AF351" s="287">
        <v>195</v>
      </c>
      <c r="AG351" s="287">
        <v>480</v>
      </c>
      <c r="AH351" s="287">
        <v>-330</v>
      </c>
      <c r="AI351" s="287">
        <v>-60</v>
      </c>
      <c r="AJ351" s="287">
        <v>195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106.441</v>
      </c>
      <c r="G352" s="271">
        <v>105.95010000000001</v>
      </c>
      <c r="H352" s="271">
        <v>105.69</v>
      </c>
      <c r="I352" s="271">
        <v>106.17</v>
      </c>
      <c r="J352" s="271">
        <v>106.17</v>
      </c>
      <c r="K352" s="271">
        <v>107.68</v>
      </c>
      <c r="L352" s="271">
        <v>110.54</v>
      </c>
      <c r="M352" s="271">
        <v>110.355</v>
      </c>
      <c r="N352" s="271">
        <v>111.42</v>
      </c>
      <c r="O352" s="271">
        <v>112.07</v>
      </c>
      <c r="P352" s="271">
        <v>113.58</v>
      </c>
      <c r="Q352" s="271">
        <v>113.33</v>
      </c>
      <c r="R352" s="271">
        <v>112.04</v>
      </c>
      <c r="S352" s="271">
        <v>111.46</v>
      </c>
      <c r="T352" s="271">
        <v>111.38</v>
      </c>
      <c r="U352" s="271">
        <v>108.35</v>
      </c>
      <c r="V352" s="271">
        <v>110.52500000000001</v>
      </c>
      <c r="W352" s="271">
        <v>110.84</v>
      </c>
      <c r="X352" s="271">
        <v>110.87</v>
      </c>
      <c r="Y352" s="271">
        <v>111.875</v>
      </c>
      <c r="Z352" s="273">
        <f ca="1">[1]ExtEntry!$I53</f>
        <v>111.875</v>
      </c>
      <c r="AB352" s="283">
        <v>-160</v>
      </c>
      <c r="AC352" s="283">
        <v>170</v>
      </c>
      <c r="AD352" s="283">
        <v>71</v>
      </c>
      <c r="AE352" s="283">
        <v>201</v>
      </c>
      <c r="AF352" s="283">
        <v>201</v>
      </c>
      <c r="AG352" s="283">
        <v>134</v>
      </c>
      <c r="AH352" s="283">
        <v>169</v>
      </c>
      <c r="AI352" s="283">
        <v>32</v>
      </c>
      <c r="AJ352" s="283">
        <v>260</v>
      </c>
      <c r="AK352" s="283">
        <v>-4</v>
      </c>
      <c r="AL352" s="283">
        <v>115</v>
      </c>
      <c r="AM352" s="283">
        <v>54</v>
      </c>
      <c r="AN352" s="283">
        <v>-304</v>
      </c>
      <c r="AO352" s="283">
        <v>-412</v>
      </c>
      <c r="AP352" s="283">
        <v>59</v>
      </c>
      <c r="AQ352" s="283">
        <v>34</v>
      </c>
      <c r="AR352" s="283">
        <v>30</v>
      </c>
      <c r="AS352" s="283">
        <v>276</v>
      </c>
      <c r="AT352" s="283">
        <v>154</v>
      </c>
      <c r="AU352" s="283">
        <v>-134</v>
      </c>
      <c r="AV352" s="283">
        <f ca="1">Calc!AM53</f>
        <v>-134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5.8129</v>
      </c>
      <c r="G353" s="271">
        <v>5.83</v>
      </c>
      <c r="H353" s="271">
        <v>5.9</v>
      </c>
      <c r="I353" s="271">
        <v>6.05</v>
      </c>
      <c r="J353" s="271">
        <v>6.05</v>
      </c>
      <c r="K353" s="271">
        <v>5.99</v>
      </c>
      <c r="L353" s="271">
        <v>6.18</v>
      </c>
      <c r="M353" s="271">
        <v>5.9850000000000003</v>
      </c>
      <c r="N353" s="271">
        <v>5.95</v>
      </c>
      <c r="O353" s="271">
        <v>6.0049999999999999</v>
      </c>
      <c r="P353" s="271">
        <v>5.9546000000000001</v>
      </c>
      <c r="Q353" s="271">
        <v>5.83</v>
      </c>
      <c r="R353" s="271">
        <v>5.85</v>
      </c>
      <c r="S353" s="271">
        <v>5.86</v>
      </c>
      <c r="T353" s="271">
        <v>5.87</v>
      </c>
      <c r="U353" s="271">
        <v>6.06</v>
      </c>
      <c r="V353" s="271">
        <v>6</v>
      </c>
      <c r="W353" s="271">
        <v>5.8849999999999998</v>
      </c>
      <c r="X353" s="271">
        <v>5.95</v>
      </c>
      <c r="Y353" s="271">
        <v>5.9550000000000001</v>
      </c>
      <c r="Z353" s="273">
        <f ca="1">[1]ExtEntry!$I54</f>
        <v>5.9550000000000001</v>
      </c>
      <c r="AB353" s="287">
        <v>-1600</v>
      </c>
      <c r="AC353" s="287">
        <v>-450</v>
      </c>
      <c r="AD353" s="287">
        <v>600</v>
      </c>
      <c r="AE353" s="287">
        <v>-125.00000000000364</v>
      </c>
      <c r="AF353" s="287">
        <v>-125.00000000000364</v>
      </c>
      <c r="AG353" s="287">
        <v>-550</v>
      </c>
      <c r="AH353" s="287">
        <v>100</v>
      </c>
      <c r="AI353" s="287">
        <v>-950</v>
      </c>
      <c r="AJ353" s="287">
        <v>450</v>
      </c>
      <c r="AK353" s="287">
        <v>-170.00000000000364</v>
      </c>
      <c r="AL353" s="287">
        <v>-299.99999999999636</v>
      </c>
      <c r="AM353" s="287">
        <v>-374.99999999999636</v>
      </c>
      <c r="AN353" s="287">
        <v>400</v>
      </c>
      <c r="AO353" s="287">
        <v>100</v>
      </c>
      <c r="AP353" s="287">
        <v>449.99999999999636</v>
      </c>
      <c r="AQ353" s="287">
        <v>-100</v>
      </c>
      <c r="AR353" s="287">
        <v>-500</v>
      </c>
      <c r="AS353" s="287">
        <v>-299.99999999999636</v>
      </c>
      <c r="AT353" s="287">
        <v>374.99999999999636</v>
      </c>
      <c r="AU353" s="287">
        <v>-149.99999999999636</v>
      </c>
      <c r="AV353" s="283">
        <f ca="1">Calc!AM54</f>
        <v>-149.99999999999636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0.95799999999999996</v>
      </c>
      <c r="G354" s="271">
        <v>0.94</v>
      </c>
      <c r="H354" s="271">
        <v>0.94199999999999995</v>
      </c>
      <c r="I354" s="271">
        <v>0.91200000000000003</v>
      </c>
      <c r="J354" s="271">
        <v>0.91200000000000003</v>
      </c>
      <c r="K354" s="271">
        <v>0.92200000000000004</v>
      </c>
      <c r="L354" s="271">
        <v>0.91800000000000004</v>
      </c>
      <c r="M354" s="271">
        <v>0.91</v>
      </c>
      <c r="N354" s="271">
        <v>0.89200000000000002</v>
      </c>
      <c r="O354" s="271">
        <v>0.9</v>
      </c>
      <c r="P354" s="271">
        <v>0.91</v>
      </c>
      <c r="Q354" s="271">
        <v>0.9</v>
      </c>
      <c r="R354" s="271">
        <v>0.9</v>
      </c>
      <c r="S354" s="271">
        <v>0.9</v>
      </c>
      <c r="T354" s="271">
        <v>0.89200000000000002</v>
      </c>
      <c r="U354" s="271">
        <v>0.89</v>
      </c>
      <c r="V354" s="271">
        <v>0.88</v>
      </c>
      <c r="W354" s="271">
        <v>0.84399999999999997</v>
      </c>
      <c r="X354" s="271">
        <v>0.86199999999999999</v>
      </c>
      <c r="Y354" s="271">
        <v>0.88800000000000001</v>
      </c>
      <c r="Z354" s="273">
        <f ca="1">[1]ExtEntry!$I55</f>
        <v>0.88800000000000001</v>
      </c>
      <c r="AB354" s="283">
        <v>1010</v>
      </c>
      <c r="AC354" s="283">
        <v>-10100</v>
      </c>
      <c r="AD354" s="283">
        <v>0</v>
      </c>
      <c r="AE354" s="283">
        <v>-5050</v>
      </c>
      <c r="AF354" s="283">
        <v>-5050</v>
      </c>
      <c r="AG354" s="283">
        <v>1010</v>
      </c>
      <c r="AH354" s="283">
        <v>-6060</v>
      </c>
      <c r="AI354" s="283">
        <v>0</v>
      </c>
      <c r="AJ354" s="283">
        <v>4040</v>
      </c>
      <c r="AK354" s="283">
        <v>0</v>
      </c>
      <c r="AL354" s="283">
        <v>-14140</v>
      </c>
      <c r="AM354" s="283">
        <v>-5050</v>
      </c>
      <c r="AN354" s="283">
        <v>9090</v>
      </c>
      <c r="AO354" s="283">
        <v>-9090</v>
      </c>
      <c r="AP354" s="283">
        <v>0</v>
      </c>
      <c r="AQ354" s="283">
        <v>-5050</v>
      </c>
      <c r="AR354" s="283">
        <v>6060</v>
      </c>
      <c r="AS354" s="283">
        <v>-1010</v>
      </c>
      <c r="AT354" s="283">
        <v>13130</v>
      </c>
      <c r="AU354" s="283">
        <v>1010</v>
      </c>
      <c r="AV354" s="283">
        <f ca="1">Calc!AM55</f>
        <v>1010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2.0299999999999998</v>
      </c>
      <c r="G355" s="271">
        <v>2.06</v>
      </c>
      <c r="H355" s="271">
        <v>1.96</v>
      </c>
      <c r="I355" s="271">
        <v>1.95</v>
      </c>
      <c r="J355" s="271">
        <v>1.95</v>
      </c>
      <c r="K355" s="271">
        <v>1.8936999999999999</v>
      </c>
      <c r="L355" s="271">
        <v>2.0299999999999998</v>
      </c>
      <c r="M355" s="271">
        <v>2.12</v>
      </c>
      <c r="N355" s="271">
        <v>2.2200000000000002</v>
      </c>
      <c r="O355" s="271">
        <v>2.41</v>
      </c>
      <c r="P355" s="271">
        <v>2.2400000000000002</v>
      </c>
      <c r="Q355" s="271">
        <v>2.19</v>
      </c>
      <c r="R355" s="271">
        <v>2.12</v>
      </c>
      <c r="S355" s="271">
        <v>2.04</v>
      </c>
      <c r="T355" s="271">
        <v>1.9850000000000001</v>
      </c>
      <c r="U355" s="271">
        <v>2.0499999999999998</v>
      </c>
      <c r="V355" s="271">
        <v>2.09</v>
      </c>
      <c r="W355" s="271">
        <v>2.08</v>
      </c>
      <c r="X355" s="271">
        <v>2.11</v>
      </c>
      <c r="Y355" s="271">
        <v>2.2000000000000002</v>
      </c>
      <c r="Z355" s="273">
        <f ca="1">[1]ExtEntry!$I56</f>
        <v>2.2000000000000002</v>
      </c>
      <c r="AB355" s="287">
        <v>-1900</v>
      </c>
      <c r="AC355" s="287">
        <v>-299</v>
      </c>
      <c r="AD355" s="287">
        <v>-250.00000000000364</v>
      </c>
      <c r="AE355" s="287">
        <v>-850</v>
      </c>
      <c r="AF355" s="287">
        <v>-850</v>
      </c>
      <c r="AG355" s="287">
        <v>300</v>
      </c>
      <c r="AH355" s="287">
        <v>850</v>
      </c>
      <c r="AI355" s="287">
        <v>-350</v>
      </c>
      <c r="AJ355" s="287">
        <v>3350</v>
      </c>
      <c r="AK355" s="287">
        <v>-1258</v>
      </c>
      <c r="AL355" s="287">
        <v>-1100</v>
      </c>
      <c r="AM355" s="287">
        <v>-549.99999999999636</v>
      </c>
      <c r="AN355" s="287">
        <v>-497</v>
      </c>
      <c r="AO355" s="287">
        <v>-1300</v>
      </c>
      <c r="AP355" s="287">
        <v>0</v>
      </c>
      <c r="AQ355" s="287">
        <v>400</v>
      </c>
      <c r="AR355" s="287">
        <v>-500</v>
      </c>
      <c r="AS355" s="287">
        <v>0</v>
      </c>
      <c r="AT355" s="287">
        <v>1349.9999999999964</v>
      </c>
      <c r="AU355" s="287">
        <v>-450</v>
      </c>
      <c r="AV355" s="283">
        <f ca="1">Calc!AM56</f>
        <v>-450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26.56</v>
      </c>
      <c r="G356" s="271">
        <v>26.66</v>
      </c>
      <c r="H356" s="271">
        <v>26.69</v>
      </c>
      <c r="I356" s="271">
        <v>26.69</v>
      </c>
      <c r="J356" s="271">
        <v>26.69</v>
      </c>
      <c r="K356" s="271">
        <v>26.76</v>
      </c>
      <c r="L356" s="271">
        <v>26.75</v>
      </c>
      <c r="M356" s="271">
        <v>26.36</v>
      </c>
      <c r="N356" s="271">
        <v>26.36</v>
      </c>
      <c r="O356" s="271">
        <v>26.81</v>
      </c>
      <c r="P356" s="271">
        <v>26.4</v>
      </c>
      <c r="Q356" s="271">
        <v>26.25</v>
      </c>
      <c r="R356" s="271">
        <v>26.32</v>
      </c>
      <c r="S356" s="271">
        <v>26.41</v>
      </c>
      <c r="T356" s="271">
        <v>26.67</v>
      </c>
      <c r="U356" s="271">
        <v>26.76</v>
      </c>
      <c r="V356" s="271">
        <v>27.44</v>
      </c>
      <c r="W356" s="271">
        <v>27.29</v>
      </c>
      <c r="X356" s="271">
        <v>27.22</v>
      </c>
      <c r="Y356" s="271">
        <v>27.07</v>
      </c>
      <c r="Z356" s="273">
        <f ca="1">[1]ExtEntry!$I57</f>
        <v>27.07</v>
      </c>
      <c r="AB356" s="283">
        <v>-1320</v>
      </c>
      <c r="AC356" s="283">
        <v>3960</v>
      </c>
      <c r="AD356" s="283">
        <v>-2880</v>
      </c>
      <c r="AE356" s="283">
        <v>3000</v>
      </c>
      <c r="AF356" s="283">
        <v>3000</v>
      </c>
      <c r="AG356" s="283">
        <v>5880</v>
      </c>
      <c r="AH356" s="283">
        <v>-4440</v>
      </c>
      <c r="AI356" s="283">
        <v>-3000</v>
      </c>
      <c r="AJ356" s="283">
        <v>5760</v>
      </c>
      <c r="AK356" s="283">
        <v>2040</v>
      </c>
      <c r="AL356" s="283">
        <v>1200</v>
      </c>
      <c r="AM356" s="283">
        <v>-2160</v>
      </c>
      <c r="AN356" s="283">
        <v>480</v>
      </c>
      <c r="AO356" s="283">
        <v>240</v>
      </c>
      <c r="AP356" s="283">
        <v>720</v>
      </c>
      <c r="AQ356" s="283">
        <v>5880</v>
      </c>
      <c r="AR356" s="283">
        <v>4680</v>
      </c>
      <c r="AS356" s="283">
        <v>-5040</v>
      </c>
      <c r="AT356" s="283">
        <v>-480</v>
      </c>
      <c r="AU356" s="283">
        <v>2280</v>
      </c>
      <c r="AV356" s="283">
        <f ca="1">Calc!AM57</f>
        <v>2280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15.62</v>
      </c>
      <c r="G357" s="271">
        <v>15.765000000000001</v>
      </c>
      <c r="H357" s="271">
        <v>15.7</v>
      </c>
      <c r="I357" s="271">
        <v>15.695</v>
      </c>
      <c r="J357" s="271">
        <v>15.695</v>
      </c>
      <c r="K357" s="271">
        <v>15.535</v>
      </c>
      <c r="L357" s="271">
        <v>15.285</v>
      </c>
      <c r="M357" s="271">
        <v>15.4</v>
      </c>
      <c r="N357" s="271">
        <v>15.545</v>
      </c>
      <c r="O357" s="271">
        <v>15.3</v>
      </c>
      <c r="P357" s="271">
        <v>15.07</v>
      </c>
      <c r="Q357" s="271">
        <v>14.67</v>
      </c>
      <c r="R357" s="271">
        <v>14.595000000000001</v>
      </c>
      <c r="S357" s="271">
        <v>14.84</v>
      </c>
      <c r="T357" s="271">
        <v>14.895</v>
      </c>
      <c r="U357" s="271">
        <v>15.205</v>
      </c>
      <c r="V357" s="271">
        <v>15.265000000000001</v>
      </c>
      <c r="W357" s="271">
        <v>15.195</v>
      </c>
      <c r="X357" s="271">
        <v>15.21</v>
      </c>
      <c r="Y357" s="271">
        <v>15.33</v>
      </c>
      <c r="Z357" s="273">
        <f ca="1">[1]ExtEntry!$I58</f>
        <v>15.33</v>
      </c>
      <c r="AB357" s="287">
        <v>-0.30000000000001137</v>
      </c>
      <c r="AC357" s="287">
        <v>-1.6000000000000227</v>
      </c>
      <c r="AD357" s="287">
        <v>-1.5999999999999943</v>
      </c>
      <c r="AE357" s="287">
        <v>-1</v>
      </c>
      <c r="AF357" s="287">
        <v>-1</v>
      </c>
      <c r="AG357" s="287">
        <v>-1.6499999999999773</v>
      </c>
      <c r="AH357" s="287">
        <v>0.39999999999997726</v>
      </c>
      <c r="AI357" s="287">
        <v>0.25</v>
      </c>
      <c r="AJ357" s="287">
        <v>0.30000000000001137</v>
      </c>
      <c r="AK357" s="287">
        <v>-2.0999999999999943</v>
      </c>
      <c r="AL357" s="287">
        <v>-1.6999999999999886</v>
      </c>
      <c r="AM357" s="287">
        <v>-3.25</v>
      </c>
      <c r="AN357" s="287">
        <v>-0.59999999999996589</v>
      </c>
      <c r="AO357" s="287">
        <v>1.75</v>
      </c>
      <c r="AP357" s="287">
        <v>1.2999999999999829</v>
      </c>
      <c r="AQ357" s="287">
        <v>1.0000000000000284</v>
      </c>
      <c r="AR357" s="287">
        <v>-0.40000000000000568</v>
      </c>
      <c r="AS357" s="287">
        <v>0.80000000000001137</v>
      </c>
      <c r="AT357" s="287">
        <v>-0.45000000000001705</v>
      </c>
      <c r="AU357" s="287">
        <v>1.75</v>
      </c>
      <c r="AV357" s="283">
        <f ca="1">Calc!AM58</f>
        <v>1.75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14.891999999999999</v>
      </c>
      <c r="G358" s="271">
        <v>14.891999999999999</v>
      </c>
      <c r="H358" s="271">
        <v>14.916</v>
      </c>
      <c r="I358" s="271">
        <v>14.906000000000001</v>
      </c>
      <c r="J358" s="271">
        <v>14.906000000000001</v>
      </c>
      <c r="K358" s="271">
        <v>14.962</v>
      </c>
      <c r="L358" s="271">
        <v>15.166</v>
      </c>
      <c r="M358" s="271">
        <v>15.151999999999999</v>
      </c>
      <c r="N358" s="271">
        <v>15.17</v>
      </c>
      <c r="O358" s="271">
        <v>15.146000000000001</v>
      </c>
      <c r="P358" s="271">
        <v>15.292</v>
      </c>
      <c r="Q358" s="271">
        <v>15.086</v>
      </c>
      <c r="R358" s="271">
        <v>14.917999999999999</v>
      </c>
      <c r="S358" s="271">
        <v>14.8</v>
      </c>
      <c r="T358" s="271">
        <v>14.856</v>
      </c>
      <c r="U358" s="271">
        <v>14.644</v>
      </c>
      <c r="V358" s="271">
        <v>14.744</v>
      </c>
      <c r="W358" s="271">
        <v>14.843999999999999</v>
      </c>
      <c r="X358" s="271">
        <v>14.872</v>
      </c>
      <c r="Y358" s="271">
        <v>14.82</v>
      </c>
      <c r="Z358" s="273">
        <f ca="1">[1]ExtEntry!$I59</f>
        <v>14.82</v>
      </c>
      <c r="AB358" s="283">
        <v>80</v>
      </c>
      <c r="AC358" s="283">
        <v>80</v>
      </c>
      <c r="AD358" s="283">
        <v>-4800</v>
      </c>
      <c r="AE358" s="283">
        <v>2480</v>
      </c>
      <c r="AF358" s="283">
        <v>2480</v>
      </c>
      <c r="AG358" s="283">
        <v>3520</v>
      </c>
      <c r="AH358" s="283">
        <v>-560</v>
      </c>
      <c r="AI358" s="283">
        <v>-3120</v>
      </c>
      <c r="AJ358" s="283">
        <v>960</v>
      </c>
      <c r="AK358" s="283">
        <v>-1920</v>
      </c>
      <c r="AL358" s="283">
        <v>1600</v>
      </c>
      <c r="AM358" s="283">
        <v>-4960</v>
      </c>
      <c r="AN358" s="283">
        <v>-12720</v>
      </c>
      <c r="AO358" s="283">
        <v>2720</v>
      </c>
      <c r="AP358" s="283">
        <v>-3440</v>
      </c>
      <c r="AQ358" s="283">
        <v>-2080</v>
      </c>
      <c r="AR358" s="283">
        <v>7680</v>
      </c>
      <c r="AS358" s="283">
        <v>720</v>
      </c>
      <c r="AT358" s="283">
        <v>-4720</v>
      </c>
      <c r="AU358" s="283">
        <v>2080</v>
      </c>
      <c r="AV358" s="283">
        <f ca="1">Calc!AM59</f>
        <v>2080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1.905</v>
      </c>
      <c r="G359" s="271">
        <v>1.91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0.73299999999999998</v>
      </c>
      <c r="M359" s="271">
        <v>0.24</v>
      </c>
      <c r="N359" s="271">
        <v>0.23300000000000001</v>
      </c>
      <c r="O359" s="271">
        <v>0.22220000000000001</v>
      </c>
      <c r="P359" s="271">
        <v>0.22509999999999999</v>
      </c>
      <c r="Q359" s="271">
        <v>0.23089999999999999</v>
      </c>
      <c r="R359" s="271">
        <v>0.2321</v>
      </c>
      <c r="S359" s="271">
        <v>0.2321</v>
      </c>
      <c r="T359" s="271">
        <v>0.23019999999999999</v>
      </c>
      <c r="U359" s="271">
        <v>0.23139999999999999</v>
      </c>
      <c r="V359" s="271">
        <v>0.23169999999999999</v>
      </c>
      <c r="W359" s="271">
        <v>0.19120000000000001</v>
      </c>
      <c r="X359" s="271">
        <v>0.2</v>
      </c>
      <c r="Y359" s="271">
        <v>0.2016</v>
      </c>
      <c r="Z359" s="273">
        <f ca="1">[1]ExtEntry!$I60</f>
        <v>0.2016</v>
      </c>
      <c r="AB359" s="287">
        <v>-120</v>
      </c>
      <c r="AC359" s="287">
        <v>-63.599999999998545</v>
      </c>
      <c r="AD359" s="287">
        <v>-60</v>
      </c>
      <c r="AE359" s="287">
        <v>120</v>
      </c>
      <c r="AF359" s="287">
        <v>120</v>
      </c>
      <c r="AG359" s="287">
        <v>120</v>
      </c>
      <c r="AH359" s="287">
        <v>477.59999999999854</v>
      </c>
      <c r="AI359" s="287">
        <v>-42</v>
      </c>
      <c r="AJ359" s="287">
        <v>-28.799999999999727</v>
      </c>
      <c r="AK359" s="287">
        <v>92.400000000000091</v>
      </c>
      <c r="AL359" s="287">
        <v>126</v>
      </c>
      <c r="AM359" s="287">
        <v>1.2000000000002728</v>
      </c>
      <c r="AN359" s="287">
        <v>34.800000000000182</v>
      </c>
      <c r="AO359" s="287">
        <v>52.800000000000182</v>
      </c>
      <c r="AP359" s="287">
        <v>14.400000000000091</v>
      </c>
      <c r="AQ359" s="287">
        <v>48.000000000000455</v>
      </c>
      <c r="AR359" s="287">
        <v>87.599999999999909</v>
      </c>
      <c r="AS359" s="287">
        <v>-360</v>
      </c>
      <c r="AT359" s="287">
        <v>-68.400000000000091</v>
      </c>
      <c r="AU359" s="287">
        <v>-97.199999999999818</v>
      </c>
      <c r="AV359" s="283">
        <f ca="1">Calc!AM60</f>
        <v>-97.199999999999818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57.7</v>
      </c>
      <c r="G360" s="271">
        <v>58.54</v>
      </c>
      <c r="H360" s="271">
        <v>57.3</v>
      </c>
      <c r="I360" s="271">
        <v>57.94</v>
      </c>
      <c r="J360" s="271">
        <v>57.94</v>
      </c>
      <c r="K360" s="271">
        <v>57.3</v>
      </c>
      <c r="L360" s="271">
        <v>55.66</v>
      </c>
      <c r="M360" s="271">
        <v>50.9</v>
      </c>
      <c r="N360" s="271">
        <v>51.16</v>
      </c>
      <c r="O360" s="271">
        <v>51.74</v>
      </c>
      <c r="P360" s="271">
        <v>52.8</v>
      </c>
      <c r="Q360" s="271">
        <v>51.94</v>
      </c>
      <c r="R360" s="271">
        <v>52.08</v>
      </c>
      <c r="S360" s="271">
        <v>52.64</v>
      </c>
      <c r="T360" s="271">
        <v>53.8</v>
      </c>
      <c r="U360" s="271">
        <v>52.88</v>
      </c>
      <c r="V360" s="271">
        <v>53.12</v>
      </c>
      <c r="W360" s="271">
        <v>54.12</v>
      </c>
      <c r="X360" s="271">
        <v>55.74</v>
      </c>
      <c r="Y360" s="271">
        <v>56.58</v>
      </c>
      <c r="Z360" s="273">
        <f ca="1">[1]ExtEntry!$I61</f>
        <v>56.58</v>
      </c>
      <c r="AB360" s="283">
        <v>8</v>
      </c>
      <c r="AC360" s="283">
        <v>-440</v>
      </c>
      <c r="AD360" s="283">
        <v>-1200</v>
      </c>
      <c r="AE360" s="283">
        <v>640</v>
      </c>
      <c r="AF360" s="283">
        <v>640</v>
      </c>
      <c r="AG360" s="283">
        <v>-1240</v>
      </c>
      <c r="AH360" s="283">
        <v>-3680</v>
      </c>
      <c r="AI360" s="283">
        <v>-2000</v>
      </c>
      <c r="AJ360" s="283">
        <v>-240</v>
      </c>
      <c r="AK360" s="283">
        <v>600</v>
      </c>
      <c r="AL360" s="283">
        <v>-40</v>
      </c>
      <c r="AM360" s="283">
        <v>-2000</v>
      </c>
      <c r="AN360" s="283">
        <v>480</v>
      </c>
      <c r="AO360" s="283">
        <v>1480</v>
      </c>
      <c r="AP360" s="283">
        <v>-840</v>
      </c>
      <c r="AQ360" s="283">
        <v>1000</v>
      </c>
      <c r="AR360" s="283">
        <v>1000</v>
      </c>
      <c r="AS360" s="283">
        <v>2560</v>
      </c>
      <c r="AT360" s="283">
        <v>2840</v>
      </c>
      <c r="AU360" s="283">
        <v>-1080</v>
      </c>
      <c r="AV360" s="283">
        <f ca="1">Calc!AM61</f>
        <v>-1080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14.28</v>
      </c>
      <c r="G361" s="271">
        <v>14.324999999999999</v>
      </c>
      <c r="H361" s="271">
        <v>14.45</v>
      </c>
      <c r="I361" s="271">
        <v>14.385</v>
      </c>
      <c r="J361" s="271">
        <v>14.385</v>
      </c>
      <c r="K361" s="271">
        <v>14.375</v>
      </c>
      <c r="L361" s="271">
        <v>14.18</v>
      </c>
      <c r="M361" s="271">
        <v>13.795</v>
      </c>
      <c r="N361" s="271">
        <v>13.565</v>
      </c>
      <c r="O361" s="271">
        <v>13.59</v>
      </c>
      <c r="P361" s="271">
        <v>13.824999999999999</v>
      </c>
      <c r="Q361" s="271">
        <v>13.725</v>
      </c>
      <c r="R361" s="271">
        <v>13.48</v>
      </c>
      <c r="S361" s="271">
        <v>13.43</v>
      </c>
      <c r="T361" s="271">
        <v>13.64</v>
      </c>
      <c r="U361" s="271">
        <v>13.465</v>
      </c>
      <c r="V361" s="271">
        <v>13.51</v>
      </c>
      <c r="W361" s="271">
        <v>13.525</v>
      </c>
      <c r="X361" s="271">
        <v>13.69</v>
      </c>
      <c r="Y361" s="271">
        <v>13.845000000000001</v>
      </c>
      <c r="Z361" s="273">
        <f ca="1">[1]ExtEntry!$I62</f>
        <v>13.845000000000001</v>
      </c>
      <c r="AB361" s="287">
        <v>2100</v>
      </c>
      <c r="AC361" s="287">
        <v>920</v>
      </c>
      <c r="AD361" s="287">
        <v>230</v>
      </c>
      <c r="AE361" s="287">
        <v>-3105</v>
      </c>
      <c r="AF361" s="287">
        <v>-3105</v>
      </c>
      <c r="AG361" s="287">
        <v>2070</v>
      </c>
      <c r="AH361" s="287">
        <v>-3910</v>
      </c>
      <c r="AI361" s="287">
        <v>-4025</v>
      </c>
      <c r="AJ361" s="287">
        <v>-345</v>
      </c>
      <c r="AK361" s="287">
        <v>-3680</v>
      </c>
      <c r="AL361" s="287">
        <v>-1840</v>
      </c>
      <c r="AM361" s="287">
        <v>-1035</v>
      </c>
      <c r="AN361" s="287">
        <v>-4620</v>
      </c>
      <c r="AO361" s="287">
        <v>3780</v>
      </c>
      <c r="AP361" s="287">
        <v>-420</v>
      </c>
      <c r="AQ361" s="287">
        <v>-1890</v>
      </c>
      <c r="AR361" s="287">
        <v>2625</v>
      </c>
      <c r="AS361" s="287">
        <v>1680</v>
      </c>
      <c r="AT361" s="287">
        <v>4200</v>
      </c>
      <c r="AU361" s="287">
        <v>-945</v>
      </c>
      <c r="AV361" s="283">
        <f ca="1">Calc!AM62</f>
        <v>-945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33.86</v>
      </c>
      <c r="G362" s="271">
        <v>34.68</v>
      </c>
      <c r="H362" s="271">
        <v>35.08</v>
      </c>
      <c r="I362" s="271">
        <v>35.15</v>
      </c>
      <c r="J362" s="271">
        <v>35.15</v>
      </c>
      <c r="K362" s="271">
        <v>35.11</v>
      </c>
      <c r="L362" s="271">
        <v>34.869999999999997</v>
      </c>
      <c r="M362" s="271">
        <v>35</v>
      </c>
      <c r="N362" s="271">
        <v>34.81</v>
      </c>
      <c r="O362" s="271">
        <v>34.369999999999997</v>
      </c>
      <c r="P362" s="271">
        <v>34.119999999999997</v>
      </c>
      <c r="Q362" s="271">
        <v>33.770000000000003</v>
      </c>
      <c r="R362" s="271">
        <v>33.72</v>
      </c>
      <c r="S362" s="271">
        <v>34.25</v>
      </c>
      <c r="T362" s="271">
        <v>34.61</v>
      </c>
      <c r="U362" s="271">
        <v>35.340000000000003</v>
      </c>
      <c r="V362" s="271">
        <v>35.56</v>
      </c>
      <c r="W362" s="271">
        <v>35.549999999999997</v>
      </c>
      <c r="X362" s="271">
        <v>35.58</v>
      </c>
      <c r="Y362" s="271">
        <v>35.72</v>
      </c>
      <c r="Z362" s="273">
        <f ca="1">[1]ExtEntry!$I63</f>
        <v>35.72</v>
      </c>
      <c r="AB362" s="283">
        <v>-7.0000000000000284E-2</v>
      </c>
      <c r="AC362" s="283">
        <v>0.35999999999999943</v>
      </c>
      <c r="AD362" s="283">
        <v>0.12000000000000455</v>
      </c>
      <c r="AE362" s="283">
        <v>-9.0000000000003411E-2</v>
      </c>
      <c r="AF362" s="283">
        <v>-9.0000000000003411E-2</v>
      </c>
      <c r="AG362" s="283">
        <v>2.9999999999994031E-2</v>
      </c>
      <c r="AH362" s="283">
        <v>0.17000000000000171</v>
      </c>
      <c r="AI362" s="283">
        <v>-0.35000000000000142</v>
      </c>
      <c r="AJ362" s="283">
        <v>-7.9999999999998295E-2</v>
      </c>
      <c r="AK362" s="283">
        <v>-0.39000000000000057</v>
      </c>
      <c r="AL362" s="283">
        <v>0.25</v>
      </c>
      <c r="AM362" s="283">
        <v>-0.53999999999999915</v>
      </c>
      <c r="AN362" s="283">
        <v>-3.0000000000001137E-2</v>
      </c>
      <c r="AO362" s="283">
        <v>0.5</v>
      </c>
      <c r="AP362" s="283">
        <v>0.22999999999999687</v>
      </c>
      <c r="AQ362" s="283">
        <v>0.28999999999999915</v>
      </c>
      <c r="AR362" s="283">
        <v>-0.10999999999999943</v>
      </c>
      <c r="AS362" s="283">
        <v>0.18999999999999773</v>
      </c>
      <c r="AT362" s="283">
        <v>-0.14999999999999858</v>
      </c>
      <c r="AU362" s="283">
        <v>-2.0000000000003126E-2</v>
      </c>
      <c r="AV362" s="283">
        <f ca="1">Calc!AM63</f>
        <v>-2.0000000000003126E-2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238.3</v>
      </c>
      <c r="G363" s="271">
        <v>237.35</v>
      </c>
      <c r="H363" s="271">
        <v>235.45</v>
      </c>
      <c r="I363" s="271">
        <v>235.85</v>
      </c>
      <c r="J363" s="271">
        <v>235.85</v>
      </c>
      <c r="K363" s="271">
        <v>231.65</v>
      </c>
      <c r="L363" s="271">
        <v>230.85</v>
      </c>
      <c r="M363" s="271">
        <v>231.7</v>
      </c>
      <c r="N363" s="271">
        <v>230.95</v>
      </c>
      <c r="O363" s="271">
        <v>235</v>
      </c>
      <c r="P363" s="271">
        <v>231.9</v>
      </c>
      <c r="Q363" s="271">
        <v>227.45</v>
      </c>
      <c r="R363" s="271">
        <v>229.2</v>
      </c>
      <c r="S363" s="271">
        <v>231.6</v>
      </c>
      <c r="T363" s="271">
        <v>231.25</v>
      </c>
      <c r="U363" s="271">
        <v>228.2</v>
      </c>
      <c r="V363" s="271">
        <v>228.4</v>
      </c>
      <c r="W363" s="271">
        <v>222.95</v>
      </c>
      <c r="X363" s="271">
        <v>218.9</v>
      </c>
      <c r="Y363" s="271">
        <v>219.2</v>
      </c>
      <c r="Z363" s="273">
        <f ca="1">[1]ExtEntry!$I64</f>
        <v>219.2</v>
      </c>
      <c r="AB363" s="287">
        <v>160.40000000000873</v>
      </c>
      <c r="AC363" s="287">
        <v>-360.89999999999418</v>
      </c>
      <c r="AD363" s="287">
        <v>-501.25</v>
      </c>
      <c r="AE363" s="287">
        <v>-180.44999999998254</v>
      </c>
      <c r="AF363" s="287">
        <v>-180.44999999998254</v>
      </c>
      <c r="AG363" s="287">
        <v>140.34999999999127</v>
      </c>
      <c r="AH363" s="287">
        <v>521.30000000000291</v>
      </c>
      <c r="AI363" s="287">
        <v>0</v>
      </c>
      <c r="AJ363" s="287">
        <v>2165.4000000000087</v>
      </c>
      <c r="AK363" s="287">
        <v>-160.40000000000873</v>
      </c>
      <c r="AL363" s="287">
        <v>380.94999999999709</v>
      </c>
      <c r="AM363" s="287">
        <v>-1844.6000000000058</v>
      </c>
      <c r="AN363" s="287">
        <v>120.29999999998836</v>
      </c>
      <c r="AO363" s="287">
        <v>1002.5</v>
      </c>
      <c r="AP363" s="287">
        <v>-521.30000000001746</v>
      </c>
      <c r="AQ363" s="287">
        <v>401</v>
      </c>
      <c r="AR363" s="287">
        <v>240.60000000000582</v>
      </c>
      <c r="AS363" s="287">
        <v>-4531.3000000000029</v>
      </c>
      <c r="AT363" s="287">
        <v>-882.19999999999709</v>
      </c>
      <c r="AU363" s="287">
        <v>401</v>
      </c>
      <c r="AV363" s="283">
        <f ca="1">Calc!AM64</f>
        <v>401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37.450000000000003</v>
      </c>
      <c r="G364" s="271">
        <v>37.549999999999997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37.35</v>
      </c>
      <c r="M364" s="271">
        <v>37.5</v>
      </c>
      <c r="N364" s="271">
        <v>37.1</v>
      </c>
      <c r="O364" s="271">
        <v>37.700000000000003</v>
      </c>
      <c r="P364" s="271">
        <v>36.549999999999997</v>
      </c>
      <c r="Q364" s="271">
        <v>35.299999999999997</v>
      </c>
      <c r="R364" s="271">
        <v>35.549999999999997</v>
      </c>
      <c r="S364" s="271">
        <v>35.65</v>
      </c>
      <c r="T364" s="271">
        <v>36.25</v>
      </c>
      <c r="U364" s="271">
        <v>35.200000000000003</v>
      </c>
      <c r="V364" s="271">
        <v>35.450000000000003</v>
      </c>
      <c r="W364" s="271">
        <v>35.65</v>
      </c>
      <c r="X364" s="271">
        <v>35.35</v>
      </c>
      <c r="Y364" s="271">
        <v>35.450000000000003</v>
      </c>
      <c r="Z364" s="273">
        <f ca="1">[1]ExtEntry!$I65</f>
        <v>35.450000000000003</v>
      </c>
      <c r="AB364" s="283">
        <v>-112</v>
      </c>
      <c r="AC364" s="283">
        <v>364</v>
      </c>
      <c r="AD364" s="283">
        <v>-28</v>
      </c>
      <c r="AE364" s="283">
        <v>-140</v>
      </c>
      <c r="AF364" s="283">
        <v>-140</v>
      </c>
      <c r="AG364" s="283">
        <v>56</v>
      </c>
      <c r="AH364" s="283">
        <v>644</v>
      </c>
      <c r="AI364" s="283">
        <v>-84</v>
      </c>
      <c r="AJ364" s="283">
        <v>-168</v>
      </c>
      <c r="AK364" s="283">
        <v>0</v>
      </c>
      <c r="AL364" s="283">
        <v>-224</v>
      </c>
      <c r="AM364" s="283">
        <v>-476</v>
      </c>
      <c r="AN364" s="283">
        <v>140</v>
      </c>
      <c r="AO364" s="283">
        <v>-140</v>
      </c>
      <c r="AP364" s="283">
        <v>196</v>
      </c>
      <c r="AQ364" s="283">
        <v>-168</v>
      </c>
      <c r="AR364" s="283">
        <v>84</v>
      </c>
      <c r="AS364" s="283">
        <v>308</v>
      </c>
      <c r="AT364" s="283">
        <v>-952</v>
      </c>
      <c r="AU364" s="283">
        <v>420</v>
      </c>
      <c r="AV364" s="283">
        <f ca="1">Calc!AM65</f>
        <v>420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230.85</v>
      </c>
      <c r="G365" s="271">
        <v>230.47</v>
      </c>
      <c r="H365" s="271">
        <v>230.37</v>
      </c>
      <c r="I365" s="271">
        <v>229.35</v>
      </c>
      <c r="J365" s="271">
        <v>229.35</v>
      </c>
      <c r="K365" s="271">
        <v>225.77</v>
      </c>
      <c r="L365" s="271">
        <v>226.23</v>
      </c>
      <c r="M365" s="271">
        <v>224.69</v>
      </c>
      <c r="N365" s="271">
        <v>228.26</v>
      </c>
      <c r="O365" s="271">
        <v>229.33500000000001</v>
      </c>
      <c r="P365" s="271">
        <v>231.37</v>
      </c>
      <c r="Q365" s="271">
        <v>227.32</v>
      </c>
      <c r="R365" s="271">
        <v>234.37</v>
      </c>
      <c r="S365" s="271">
        <v>234.36</v>
      </c>
      <c r="T365" s="271">
        <v>236.74</v>
      </c>
      <c r="U365" s="271">
        <v>236.34</v>
      </c>
      <c r="V365" s="271">
        <v>233.36</v>
      </c>
      <c r="W365" s="271">
        <v>225.95</v>
      </c>
      <c r="X365" s="271">
        <v>226.65</v>
      </c>
      <c r="Y365" s="271">
        <v>229.02</v>
      </c>
      <c r="Z365" s="273">
        <f ca="1">[1]ExtEntry!$I66</f>
        <v>229.02</v>
      </c>
      <c r="AB365" s="287">
        <v>-1560</v>
      </c>
      <c r="AC365" s="287">
        <v>-2192</v>
      </c>
      <c r="AD365" s="287">
        <v>-568</v>
      </c>
      <c r="AE365" s="287">
        <v>-944</v>
      </c>
      <c r="AF365" s="287">
        <v>-944</v>
      </c>
      <c r="AG365" s="287">
        <v>-3176</v>
      </c>
      <c r="AH365" s="287">
        <v>544</v>
      </c>
      <c r="AI365" s="287">
        <v>1952</v>
      </c>
      <c r="AJ365" s="287">
        <v>1504</v>
      </c>
      <c r="AK365" s="287">
        <v>471.92000000001281</v>
      </c>
      <c r="AL365" s="287">
        <v>-296</v>
      </c>
      <c r="AM365" s="287">
        <v>-1528.1600000000035</v>
      </c>
      <c r="AN365" s="287">
        <v>-739.67999999999302</v>
      </c>
      <c r="AO365" s="287">
        <v>1008</v>
      </c>
      <c r="AP365" s="287">
        <v>1064</v>
      </c>
      <c r="AQ365" s="287">
        <v>-1136</v>
      </c>
      <c r="AR365" s="287">
        <v>-2120</v>
      </c>
      <c r="AS365" s="287">
        <v>-4316</v>
      </c>
      <c r="AT365" s="287">
        <v>1827.5</v>
      </c>
      <c r="AU365" s="287">
        <v>2425</v>
      </c>
      <c r="AV365" s="283">
        <f ca="1">Calc!AM66</f>
        <v>2425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227.02</v>
      </c>
      <c r="G366" s="271">
        <v>231.21</v>
      </c>
      <c r="H366" s="271">
        <v>228.33</v>
      </c>
      <c r="I366" s="271">
        <v>227.12</v>
      </c>
      <c r="J366" s="271">
        <v>227.12</v>
      </c>
      <c r="K366" s="271">
        <v>220.91499999999999</v>
      </c>
      <c r="L366" s="271">
        <v>227.31</v>
      </c>
      <c r="M366" s="271">
        <v>226.02</v>
      </c>
      <c r="N366" s="271">
        <v>227.81</v>
      </c>
      <c r="O366" s="271">
        <v>228.02</v>
      </c>
      <c r="P366" s="271">
        <v>228.16</v>
      </c>
      <c r="Q366" s="271">
        <v>222.17</v>
      </c>
      <c r="R366" s="271">
        <v>224.9</v>
      </c>
      <c r="S366" s="271">
        <v>224.36</v>
      </c>
      <c r="T366" s="271">
        <v>230.78</v>
      </c>
      <c r="U366" s="271">
        <v>233.75</v>
      </c>
      <c r="V366" s="271">
        <v>235.08</v>
      </c>
      <c r="W366" s="271">
        <v>229.09620000000001</v>
      </c>
      <c r="X366" s="271">
        <v>229.33770000000001</v>
      </c>
      <c r="Y366" s="271">
        <v>226.29</v>
      </c>
      <c r="Z366" s="273">
        <f ca="1">[1]ExtEntry!$I67</f>
        <v>226.29</v>
      </c>
      <c r="AB366" s="283">
        <v>7486.4000000000233</v>
      </c>
      <c r="AC366" s="283">
        <v>-1840</v>
      </c>
      <c r="AD366" s="283">
        <v>160</v>
      </c>
      <c r="AE366" s="283">
        <v>-5040</v>
      </c>
      <c r="AF366" s="283">
        <v>-5040</v>
      </c>
      <c r="AG366" s="283">
        <v>-6620</v>
      </c>
      <c r="AH366" s="283">
        <v>1180</v>
      </c>
      <c r="AI366" s="283">
        <v>3200</v>
      </c>
      <c r="AJ366" s="283">
        <v>1100</v>
      </c>
      <c r="AK366" s="283">
        <v>6594.2000000000116</v>
      </c>
      <c r="AL366" s="283">
        <v>-4640</v>
      </c>
      <c r="AM366" s="283">
        <v>-2234.2000000000116</v>
      </c>
      <c r="AN366" s="283">
        <v>1480</v>
      </c>
      <c r="AO366" s="283">
        <v>1560</v>
      </c>
      <c r="AP366" s="283">
        <v>8990</v>
      </c>
      <c r="AQ366" s="283">
        <v>1800</v>
      </c>
      <c r="AR366" s="283">
        <v>3770</v>
      </c>
      <c r="AS366" s="283">
        <v>-14370</v>
      </c>
      <c r="AT366" s="283">
        <v>-2310</v>
      </c>
      <c r="AU366" s="283">
        <v>-4400</v>
      </c>
      <c r="AV366" s="283">
        <f ca="1">Calc!AM67</f>
        <v>-4400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639.1</v>
      </c>
      <c r="G367" s="271">
        <v>628.79999999999995</v>
      </c>
      <c r="H367" s="271">
        <v>629.79999999999995</v>
      </c>
      <c r="I367" s="271">
        <v>640.70000000000005</v>
      </c>
      <c r="J367" s="271">
        <v>640.70000000000005</v>
      </c>
      <c r="K367" s="271">
        <v>633.29999999999995</v>
      </c>
      <c r="L367" s="271">
        <v>641.1</v>
      </c>
      <c r="M367" s="271">
        <v>647.29999999999995</v>
      </c>
      <c r="N367" s="271">
        <v>650.1</v>
      </c>
      <c r="O367" s="271">
        <v>652</v>
      </c>
      <c r="P367" s="271">
        <v>626</v>
      </c>
      <c r="Q367" s="271">
        <v>611.79999999999995</v>
      </c>
      <c r="R367" s="271">
        <v>626.5</v>
      </c>
      <c r="S367" s="271">
        <v>628.1</v>
      </c>
      <c r="T367" s="271">
        <v>656.1</v>
      </c>
      <c r="U367" s="271">
        <v>664.1</v>
      </c>
      <c r="V367" s="271">
        <v>674</v>
      </c>
      <c r="W367" s="271">
        <v>679.2</v>
      </c>
      <c r="X367" s="271">
        <v>674.1</v>
      </c>
      <c r="Y367" s="271">
        <v>681.5</v>
      </c>
      <c r="Z367" s="273">
        <f ca="1">[1]ExtEntry!$I68</f>
        <v>681.5</v>
      </c>
      <c r="AB367" s="287">
        <v>-795.59999999997672</v>
      </c>
      <c r="AC367" s="287">
        <v>468</v>
      </c>
      <c r="AD367" s="287">
        <v>327.59999999997672</v>
      </c>
      <c r="AE367" s="287">
        <v>70.199999999982538</v>
      </c>
      <c r="AF367" s="287">
        <v>70.199999999982538</v>
      </c>
      <c r="AG367" s="287">
        <v>-93.599999999976717</v>
      </c>
      <c r="AH367" s="287">
        <v>-187.19999999998254</v>
      </c>
      <c r="AI367" s="287">
        <v>374.39999999999418</v>
      </c>
      <c r="AJ367" s="287">
        <v>1801.8000000000175</v>
      </c>
      <c r="AK367" s="287">
        <v>-1310.3999999999942</v>
      </c>
      <c r="AL367" s="287">
        <v>2152.7999999999884</v>
      </c>
      <c r="AM367" s="287">
        <v>-3042</v>
      </c>
      <c r="AN367" s="287">
        <v>-93.600000000005821</v>
      </c>
      <c r="AO367" s="287">
        <v>1053</v>
      </c>
      <c r="AP367" s="287">
        <v>450</v>
      </c>
      <c r="AQ367" s="287">
        <v>1691.9999999999854</v>
      </c>
      <c r="AR367" s="287">
        <v>576.00000000001455</v>
      </c>
      <c r="AS367" s="287">
        <v>-1980</v>
      </c>
      <c r="AT367" s="287">
        <v>1043.9999999999854</v>
      </c>
      <c r="AU367" s="287">
        <v>323.99999999998545</v>
      </c>
      <c r="AV367" s="283">
        <f ca="1">Calc!AM68</f>
        <v>323.99999999998545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2.0299999999999998</v>
      </c>
      <c r="G368" s="271">
        <v>2.06</v>
      </c>
      <c r="H368" s="271">
        <v>1.96</v>
      </c>
      <c r="I368" s="271">
        <v>1.95</v>
      </c>
      <c r="J368" s="271">
        <v>1.95</v>
      </c>
      <c r="K368" s="271">
        <v>1.8936999999999999</v>
      </c>
      <c r="L368" s="271">
        <v>2.0299999999999998</v>
      </c>
      <c r="M368" s="271">
        <v>2.12</v>
      </c>
      <c r="N368" s="271">
        <v>2.2200000000000002</v>
      </c>
      <c r="O368" s="271">
        <v>2.41</v>
      </c>
      <c r="P368" s="271">
        <v>2.2400000000000002</v>
      </c>
      <c r="Q368" s="271">
        <v>2.19</v>
      </c>
      <c r="R368" s="271">
        <v>2.12</v>
      </c>
      <c r="S368" s="271">
        <v>2.04</v>
      </c>
      <c r="T368" s="271">
        <v>1.9850000000000001</v>
      </c>
      <c r="U368" s="271">
        <v>2.0499999999999998</v>
      </c>
      <c r="V368" s="271">
        <v>2.09</v>
      </c>
      <c r="W368" s="271">
        <v>2.08</v>
      </c>
      <c r="X368" s="271">
        <v>2.11</v>
      </c>
      <c r="Y368" s="271">
        <v>2.2000000000000002</v>
      </c>
      <c r="Z368" s="273">
        <f ca="1">[1]ExtEntry!$I69</f>
        <v>2.2000000000000002</v>
      </c>
      <c r="AB368" s="283">
        <v>-22990</v>
      </c>
      <c r="AC368" s="283">
        <v>-3617.8999999999942</v>
      </c>
      <c r="AD368" s="283">
        <v>-3025.0000000000582</v>
      </c>
      <c r="AE368" s="283">
        <v>-10284.999999999971</v>
      </c>
      <c r="AF368" s="283">
        <v>-10284.999999999971</v>
      </c>
      <c r="AG368" s="283">
        <v>3630</v>
      </c>
      <c r="AH368" s="283">
        <v>10285.000000000029</v>
      </c>
      <c r="AI368" s="283">
        <v>-4235</v>
      </c>
      <c r="AJ368" s="283">
        <v>40535</v>
      </c>
      <c r="AK368" s="283">
        <v>-15221.799999999988</v>
      </c>
      <c r="AL368" s="283">
        <v>-13310</v>
      </c>
      <c r="AM368" s="283">
        <v>-6655</v>
      </c>
      <c r="AN368" s="283">
        <v>-6013.7000000000116</v>
      </c>
      <c r="AO368" s="283">
        <v>-15730.000000000029</v>
      </c>
      <c r="AP368" s="283">
        <v>0</v>
      </c>
      <c r="AQ368" s="283">
        <v>4840</v>
      </c>
      <c r="AR368" s="283">
        <v>-6050</v>
      </c>
      <c r="AS368" s="283">
        <v>0</v>
      </c>
      <c r="AT368" s="283">
        <v>16334.999999999971</v>
      </c>
      <c r="AU368" s="283">
        <v>-5445</v>
      </c>
      <c r="AV368" s="283">
        <f ca="1">Calc!AM69</f>
        <v>-5445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114.62</v>
      </c>
      <c r="G369" s="271">
        <v>116.04</v>
      </c>
      <c r="H369" s="271">
        <v>115.16</v>
      </c>
      <c r="I369" s="271">
        <v>115.72</v>
      </c>
      <c r="J369" s="271">
        <v>115.72</v>
      </c>
      <c r="K369" s="271">
        <v>116</v>
      </c>
      <c r="L369" s="271">
        <v>117.7</v>
      </c>
      <c r="M369" s="271">
        <v>117.16</v>
      </c>
      <c r="N369" s="271">
        <v>117.29</v>
      </c>
      <c r="O369" s="271">
        <v>116.61</v>
      </c>
      <c r="P369" s="271">
        <v>117.245</v>
      </c>
      <c r="Q369" s="271">
        <v>115.9965</v>
      </c>
      <c r="R369" s="271">
        <v>116.51</v>
      </c>
      <c r="S369" s="271">
        <v>116.35</v>
      </c>
      <c r="T369" s="271">
        <v>116.76</v>
      </c>
      <c r="U369" s="271">
        <v>116.74</v>
      </c>
      <c r="V369" s="271">
        <v>117.22</v>
      </c>
      <c r="W369" s="271">
        <v>114.495</v>
      </c>
      <c r="X369" s="271">
        <v>114.63</v>
      </c>
      <c r="Y369" s="271">
        <v>115.1</v>
      </c>
      <c r="Z369" s="273">
        <f ca="1">[1]ExtEntry!$I70</f>
        <v>115.1</v>
      </c>
      <c r="AB369" s="287">
        <v>465.65000000000873</v>
      </c>
      <c r="AC369" s="287">
        <v>-56.94999999999709</v>
      </c>
      <c r="AD369" s="287">
        <v>713.54999999998836</v>
      </c>
      <c r="AE369" s="287">
        <v>-284.75</v>
      </c>
      <c r="AF369" s="287">
        <v>-284.75</v>
      </c>
      <c r="AG369" s="287">
        <v>659.94999999999709</v>
      </c>
      <c r="AH369" s="287">
        <v>-502.5</v>
      </c>
      <c r="AI369" s="287">
        <v>147.39999999999418</v>
      </c>
      <c r="AJ369" s="287">
        <v>361.79999999998836</v>
      </c>
      <c r="AK369" s="287">
        <v>-797.29999999998836</v>
      </c>
      <c r="AL369" s="287">
        <v>663.29999999998836</v>
      </c>
      <c r="AM369" s="287">
        <v>-197.64999999999418</v>
      </c>
      <c r="AN369" s="287">
        <v>-730.30000000000291</v>
      </c>
      <c r="AO369" s="287">
        <v>-301.50000000001455</v>
      </c>
      <c r="AP369" s="287">
        <v>1159.0999999999913</v>
      </c>
      <c r="AQ369" s="287">
        <v>589.60000000000582</v>
      </c>
      <c r="AR369" s="287">
        <v>-780.55000000000291</v>
      </c>
      <c r="AS369" s="287">
        <v>-690.10000000000582</v>
      </c>
      <c r="AT369" s="287">
        <v>881.04999999998836</v>
      </c>
      <c r="AU369" s="287">
        <v>-194.30000000000291</v>
      </c>
      <c r="AV369" s="283">
        <f ca="1">Calc!AM70</f>
        <v>-194.30000000000291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54.820099999999996</v>
      </c>
      <c r="G370" s="271">
        <v>56.37</v>
      </c>
      <c r="H370" s="271">
        <v>56.1</v>
      </c>
      <c r="I370" s="271">
        <v>56.31</v>
      </c>
      <c r="J370" s="271">
        <v>56.31</v>
      </c>
      <c r="K370" s="271">
        <v>56.64</v>
      </c>
      <c r="L370" s="271">
        <v>57.884500000000003</v>
      </c>
      <c r="M370" s="271">
        <v>58.1</v>
      </c>
      <c r="N370" s="271">
        <v>58.42</v>
      </c>
      <c r="O370" s="271">
        <v>57.76</v>
      </c>
      <c r="P370" s="271">
        <v>57.86</v>
      </c>
      <c r="Q370" s="271">
        <v>56.99</v>
      </c>
      <c r="R370" s="271">
        <v>58.18</v>
      </c>
      <c r="S370" s="271">
        <v>57.7</v>
      </c>
      <c r="T370" s="271">
        <v>57.48</v>
      </c>
      <c r="U370" s="271">
        <v>57.4</v>
      </c>
      <c r="V370" s="271">
        <v>57.6</v>
      </c>
      <c r="W370" s="271">
        <v>56.604999999999997</v>
      </c>
      <c r="X370" s="271">
        <v>57.47</v>
      </c>
      <c r="Y370" s="271">
        <v>58.475000000000001</v>
      </c>
      <c r="Z370" s="273">
        <f ca="1">[1]ExtEntry!$I71</f>
        <v>58.475000000000001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381.7</v>
      </c>
      <c r="G371" s="271">
        <v>382.2</v>
      </c>
      <c r="H371" s="271">
        <v>384.8</v>
      </c>
      <c r="I371" s="271">
        <v>388</v>
      </c>
      <c r="J371" s="271">
        <v>388</v>
      </c>
      <c r="K371" s="271">
        <v>386.2</v>
      </c>
      <c r="L371" s="271">
        <v>384.4</v>
      </c>
      <c r="M371" s="271">
        <v>387.7</v>
      </c>
      <c r="N371" s="271">
        <v>382.5</v>
      </c>
      <c r="O371" s="271">
        <v>386</v>
      </c>
      <c r="P371" s="271">
        <v>381.3</v>
      </c>
      <c r="Q371" s="271">
        <v>377.2</v>
      </c>
      <c r="R371" s="271">
        <v>380.7</v>
      </c>
      <c r="S371" s="271">
        <v>381.2</v>
      </c>
      <c r="T371" s="271">
        <v>385.8</v>
      </c>
      <c r="U371" s="271">
        <v>389.6</v>
      </c>
      <c r="V371" s="271">
        <v>390.7</v>
      </c>
      <c r="W371" s="271">
        <v>381.7</v>
      </c>
      <c r="X371" s="271">
        <v>381.8</v>
      </c>
      <c r="Y371" s="271">
        <v>379.3</v>
      </c>
      <c r="Z371" s="273">
        <f ca="1">[1]ExtEntry!$I72</f>
        <v>379.3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25.82</v>
      </c>
      <c r="G372" s="271">
        <v>26.8</v>
      </c>
      <c r="H372" s="271">
        <v>27.965</v>
      </c>
      <c r="I372" s="271">
        <v>27.62</v>
      </c>
      <c r="J372" s="271">
        <v>27.62</v>
      </c>
      <c r="K372" s="271">
        <v>26.56</v>
      </c>
      <c r="L372" s="271">
        <v>25.35</v>
      </c>
      <c r="M372" s="271">
        <v>24.29</v>
      </c>
      <c r="N372" s="271">
        <v>24.28</v>
      </c>
      <c r="O372" s="271">
        <v>24.35</v>
      </c>
      <c r="P372" s="271">
        <v>23.84</v>
      </c>
      <c r="Q372" s="271">
        <v>23.46</v>
      </c>
      <c r="R372" s="271">
        <v>23.81</v>
      </c>
      <c r="S372" s="271">
        <v>23.79</v>
      </c>
      <c r="T372" s="271">
        <v>23.33</v>
      </c>
      <c r="U372" s="271">
        <v>23.78</v>
      </c>
      <c r="V372" s="271">
        <v>24.32</v>
      </c>
      <c r="W372" s="271">
        <v>24.207999999999998</v>
      </c>
      <c r="X372" s="271">
        <v>24.5</v>
      </c>
      <c r="Y372" s="271">
        <v>23.18</v>
      </c>
      <c r="Z372" s="273">
        <f ca="1">[1]ExtEntry!$I73</f>
        <v>23.18</v>
      </c>
      <c r="AB372" s="283">
        <v>1149.5</v>
      </c>
      <c r="AC372" s="283">
        <v>4250</v>
      </c>
      <c r="AD372" s="283">
        <v>-875</v>
      </c>
      <c r="AE372" s="283">
        <v>-1075</v>
      </c>
      <c r="AF372" s="283">
        <v>-1075</v>
      </c>
      <c r="AG372" s="283">
        <v>-4150</v>
      </c>
      <c r="AH372" s="283">
        <v>-8850</v>
      </c>
      <c r="AI372" s="283">
        <v>-3100</v>
      </c>
      <c r="AJ372" s="283">
        <v>1750</v>
      </c>
      <c r="AK372" s="283">
        <v>-2775</v>
      </c>
      <c r="AL372" s="283">
        <v>-800</v>
      </c>
      <c r="AM372" s="283">
        <v>-2250</v>
      </c>
      <c r="AN372" s="283">
        <v>600</v>
      </c>
      <c r="AO372" s="283">
        <v>-550</v>
      </c>
      <c r="AP372" s="283">
        <v>2350</v>
      </c>
      <c r="AQ372" s="283">
        <v>-475.00000000001455</v>
      </c>
      <c r="AR372" s="283">
        <v>-2200</v>
      </c>
      <c r="AS372" s="283">
        <v>-1349.9999999999854</v>
      </c>
      <c r="AT372" s="283">
        <v>4400</v>
      </c>
      <c r="AU372" s="283">
        <v>-8574.9999999999854</v>
      </c>
      <c r="AV372" s="283">
        <f ca="1">Calc!AM73</f>
        <v>-8574.9999999999854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0.90190000000000003</v>
      </c>
      <c r="G373" s="271">
        <v>0.9143</v>
      </c>
      <c r="H373" s="271">
        <v>0.96679999999999999</v>
      </c>
      <c r="I373" s="271">
        <v>0.92010000000000003</v>
      </c>
      <c r="J373" s="271">
        <v>0.92010000000000003</v>
      </c>
      <c r="K373" s="271">
        <v>0.91</v>
      </c>
      <c r="L373" s="271">
        <v>0.99929999999999997</v>
      </c>
      <c r="M373" s="271">
        <v>1</v>
      </c>
      <c r="N373" s="271">
        <v>1</v>
      </c>
      <c r="O373" s="271">
        <v>1.03</v>
      </c>
      <c r="P373" s="271">
        <v>1.1200000000000001</v>
      </c>
      <c r="Q373" s="271">
        <v>1.1100000000000001</v>
      </c>
      <c r="R373" s="271">
        <v>1.0900000000000001</v>
      </c>
      <c r="S373" s="271">
        <v>1.07</v>
      </c>
      <c r="T373" s="271">
        <v>1.01</v>
      </c>
      <c r="U373" s="271">
        <v>1.05</v>
      </c>
      <c r="V373" s="271">
        <v>1.1000000000000001</v>
      </c>
      <c r="W373" s="271">
        <v>1.1201000000000001</v>
      </c>
      <c r="X373" s="271">
        <v>1.1100000000000001</v>
      </c>
      <c r="Y373" s="271">
        <v>1.22</v>
      </c>
      <c r="Z373" s="273">
        <f ca="1">[1]ExtEntry!$I74</f>
        <v>1.22</v>
      </c>
      <c r="AB373" s="287">
        <v>-3984</v>
      </c>
      <c r="AC373" s="287">
        <v>2928</v>
      </c>
      <c r="AD373" s="287">
        <v>8016</v>
      </c>
      <c r="AE373" s="287">
        <v>-7968</v>
      </c>
      <c r="AF373" s="287">
        <v>-7968</v>
      </c>
      <c r="AG373" s="287">
        <v>-1088</v>
      </c>
      <c r="AH373" s="287">
        <v>0</v>
      </c>
      <c r="AI373" s="287">
        <v>1600</v>
      </c>
      <c r="AJ373" s="287">
        <v>6400</v>
      </c>
      <c r="AK373" s="287">
        <v>2400</v>
      </c>
      <c r="AL373" s="287">
        <v>-6400</v>
      </c>
      <c r="AM373" s="287">
        <v>799.9999999999709</v>
      </c>
      <c r="AN373" s="287">
        <v>2399.9999999999709</v>
      </c>
      <c r="AO373" s="287">
        <v>-4800.0000000000291</v>
      </c>
      <c r="AP373" s="287">
        <v>-11200</v>
      </c>
      <c r="AQ373" s="287">
        <v>-4799.9999999999709</v>
      </c>
      <c r="AR373" s="287">
        <v>3199.9999999999418</v>
      </c>
      <c r="AS373" s="287">
        <v>-4800.0000000000291</v>
      </c>
      <c r="AT373" s="287">
        <v>21600</v>
      </c>
      <c r="AU373" s="287">
        <v>12800</v>
      </c>
      <c r="AV373" s="283">
        <f ca="1">Calc!AM74</f>
        <v>12800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14.891999999999999</v>
      </c>
      <c r="G374" s="271">
        <v>14.891999999999999</v>
      </c>
      <c r="H374" s="271">
        <v>14.916</v>
      </c>
      <c r="I374" s="271">
        <v>14.906000000000001</v>
      </c>
      <c r="J374" s="271">
        <v>14.906000000000001</v>
      </c>
      <c r="K374" s="271">
        <v>14.962</v>
      </c>
      <c r="L374" s="271">
        <v>15.166</v>
      </c>
      <c r="M374" s="271">
        <v>15.151999999999999</v>
      </c>
      <c r="N374" s="271">
        <v>15.17</v>
      </c>
      <c r="O374" s="271">
        <v>15.146000000000001</v>
      </c>
      <c r="P374" s="271">
        <v>15.292</v>
      </c>
      <c r="Q374" s="271">
        <v>15.086</v>
      </c>
      <c r="R374" s="271">
        <v>14.917999999999999</v>
      </c>
      <c r="S374" s="271">
        <v>14.8</v>
      </c>
      <c r="T374" s="271">
        <v>14.856</v>
      </c>
      <c r="U374" s="271">
        <v>14.644</v>
      </c>
      <c r="V374" s="271">
        <v>14.744</v>
      </c>
      <c r="W374" s="271">
        <v>14.843999999999999</v>
      </c>
      <c r="X374" s="271">
        <v>14.872</v>
      </c>
      <c r="Y374" s="271">
        <v>14.82</v>
      </c>
      <c r="Z374" s="273">
        <f ca="1">[1]ExtEntry!$I75</f>
        <v>14.82</v>
      </c>
      <c r="AB374" s="283">
        <v>8</v>
      </c>
      <c r="AC374" s="283">
        <v>8</v>
      </c>
      <c r="AD374" s="283">
        <v>-480</v>
      </c>
      <c r="AE374" s="283">
        <v>248</v>
      </c>
      <c r="AF374" s="283">
        <v>248</v>
      </c>
      <c r="AG374" s="283">
        <v>352</v>
      </c>
      <c r="AH374" s="283">
        <v>-56</v>
      </c>
      <c r="AI374" s="283">
        <v>-312</v>
      </c>
      <c r="AJ374" s="283">
        <v>48</v>
      </c>
      <c r="AK374" s="283">
        <v>-96</v>
      </c>
      <c r="AL374" s="283">
        <v>80</v>
      </c>
      <c r="AM374" s="283">
        <v>-248</v>
      </c>
      <c r="AN374" s="283">
        <v>-636</v>
      </c>
      <c r="AO374" s="283">
        <v>136</v>
      </c>
      <c r="AP374" s="283">
        <v>-172</v>
      </c>
      <c r="AQ374" s="283">
        <v>-104</v>
      </c>
      <c r="AR374" s="283">
        <v>384</v>
      </c>
      <c r="AS374" s="283">
        <v>36</v>
      </c>
      <c r="AT374" s="283">
        <v>-236</v>
      </c>
      <c r="AU374" s="283">
        <v>104</v>
      </c>
      <c r="AV374" s="283">
        <f ca="1">Calc!AM75</f>
        <v>104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504.6</v>
      </c>
      <c r="G375" s="271">
        <v>512</v>
      </c>
      <c r="H375" s="271">
        <v>509.6</v>
      </c>
      <c r="I375" s="271">
        <v>512.6</v>
      </c>
      <c r="J375" s="271">
        <v>512.6</v>
      </c>
      <c r="K375" s="271">
        <v>507.4</v>
      </c>
      <c r="L375" s="271">
        <v>502</v>
      </c>
      <c r="M375" s="271">
        <v>505</v>
      </c>
      <c r="N375" s="271">
        <v>482.1</v>
      </c>
      <c r="O375" s="271">
        <v>491.6</v>
      </c>
      <c r="P375" s="271">
        <v>488.6</v>
      </c>
      <c r="Q375" s="271">
        <v>476.5</v>
      </c>
      <c r="R375" s="271">
        <v>476.6</v>
      </c>
      <c r="S375" s="271">
        <v>464.1</v>
      </c>
      <c r="T375" s="271">
        <v>466.7</v>
      </c>
      <c r="U375" s="271">
        <v>466.4</v>
      </c>
      <c r="V375" s="271">
        <v>469.3</v>
      </c>
      <c r="W375" s="271">
        <v>459.8</v>
      </c>
      <c r="X375" s="271">
        <v>462.2</v>
      </c>
      <c r="Y375" s="271">
        <v>463.6</v>
      </c>
      <c r="Z375" s="273">
        <f ca="1">[1]ExtEntry!$I76</f>
        <v>463.6</v>
      </c>
      <c r="AB375" s="287">
        <v>1620</v>
      </c>
      <c r="AC375" s="287">
        <v>838.5000000000291</v>
      </c>
      <c r="AD375" s="287">
        <v>-1500</v>
      </c>
      <c r="AE375" s="287">
        <v>1800</v>
      </c>
      <c r="AF375" s="287">
        <v>1800</v>
      </c>
      <c r="AG375" s="287">
        <v>-2340.0000000000291</v>
      </c>
      <c r="AH375" s="287">
        <v>2340</v>
      </c>
      <c r="AI375" s="287">
        <v>-1980</v>
      </c>
      <c r="AJ375" s="287">
        <v>-5100</v>
      </c>
      <c r="AK375" s="287">
        <v>660</v>
      </c>
      <c r="AL375" s="287">
        <v>-270</v>
      </c>
      <c r="AM375" s="287">
        <v>-4738</v>
      </c>
      <c r="AN375" s="287">
        <v>4640</v>
      </c>
      <c r="AO375" s="287">
        <v>1065.3600000000151</v>
      </c>
      <c r="AP375" s="287">
        <v>280</v>
      </c>
      <c r="AQ375" s="287">
        <v>160</v>
      </c>
      <c r="AR375" s="287">
        <v>280</v>
      </c>
      <c r="AS375" s="287">
        <v>-2080</v>
      </c>
      <c r="AT375" s="287">
        <v>660</v>
      </c>
      <c r="AU375" s="287">
        <v>160</v>
      </c>
      <c r="AV375" s="283">
        <f ca="1">Calc!AM76</f>
        <v>160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11.215</v>
      </c>
      <c r="G376" s="271">
        <v>11.41</v>
      </c>
      <c r="H376" s="271">
        <v>11.37</v>
      </c>
      <c r="I376" s="271">
        <v>11.49</v>
      </c>
      <c r="J376" s="271">
        <v>11.49</v>
      </c>
      <c r="K376" s="271">
        <v>11.47</v>
      </c>
      <c r="L376" s="271">
        <v>11.68</v>
      </c>
      <c r="M376" s="271">
        <v>11.77</v>
      </c>
      <c r="N376" s="271">
        <v>11.81</v>
      </c>
      <c r="O376" s="271">
        <v>11.64</v>
      </c>
      <c r="P376" s="271">
        <v>11.72</v>
      </c>
      <c r="Q376" s="271">
        <v>11.66</v>
      </c>
      <c r="R376" s="271">
        <v>11.61</v>
      </c>
      <c r="S376" s="271">
        <v>11.57</v>
      </c>
      <c r="T376" s="271">
        <v>11.57</v>
      </c>
      <c r="U376" s="271">
        <v>11.58</v>
      </c>
      <c r="V376" s="271">
        <v>11.45</v>
      </c>
      <c r="W376" s="271">
        <v>11.31</v>
      </c>
      <c r="X376" s="271">
        <v>11.44</v>
      </c>
      <c r="Y376" s="271">
        <v>11.66</v>
      </c>
      <c r="Z376" s="273">
        <f ca="1">[1]ExtEntry!$I77</f>
        <v>11.66</v>
      </c>
      <c r="AB376" s="283">
        <v>-50</v>
      </c>
      <c r="AC376" s="283">
        <v>75</v>
      </c>
      <c r="AD376" s="283">
        <v>175</v>
      </c>
      <c r="AE376" s="283">
        <v>422</v>
      </c>
      <c r="AF376" s="283">
        <v>422</v>
      </c>
      <c r="AG376" s="283">
        <v>-150</v>
      </c>
      <c r="AH376" s="283">
        <v>325</v>
      </c>
      <c r="AI376" s="283">
        <v>125.00000000000728</v>
      </c>
      <c r="AJ376" s="283">
        <v>455</v>
      </c>
      <c r="AK376" s="283">
        <v>-1550</v>
      </c>
      <c r="AL376" s="283">
        <v>150</v>
      </c>
      <c r="AM376" s="283">
        <v>-99.999999999992724</v>
      </c>
      <c r="AN376" s="283">
        <v>-250.50000000000728</v>
      </c>
      <c r="AO376" s="283">
        <v>-250.00000000000728</v>
      </c>
      <c r="AP376" s="283">
        <v>150</v>
      </c>
      <c r="AQ376" s="283">
        <v>-375</v>
      </c>
      <c r="AR376" s="283">
        <v>-850</v>
      </c>
      <c r="AS376" s="283">
        <v>-180</v>
      </c>
      <c r="AT376" s="283">
        <v>885</v>
      </c>
      <c r="AU376" s="283">
        <v>-222</v>
      </c>
      <c r="AV376" s="283">
        <f ca="1">Calc!AM77</f>
        <v>-222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57.7</v>
      </c>
      <c r="G377" s="271">
        <v>58.54</v>
      </c>
      <c r="H377" s="271">
        <v>57.3</v>
      </c>
      <c r="I377" s="271">
        <v>57.94</v>
      </c>
      <c r="J377" s="271">
        <v>57.94</v>
      </c>
      <c r="K377" s="271">
        <v>57.3</v>
      </c>
      <c r="L377" s="271">
        <v>55.66</v>
      </c>
      <c r="M377" s="271">
        <v>50.9</v>
      </c>
      <c r="N377" s="271">
        <v>51.16</v>
      </c>
      <c r="O377" s="271">
        <v>51.74</v>
      </c>
      <c r="P377" s="271">
        <v>52.8</v>
      </c>
      <c r="Q377" s="271">
        <v>51.94</v>
      </c>
      <c r="R377" s="271">
        <v>52.08</v>
      </c>
      <c r="S377" s="271">
        <v>52.64</v>
      </c>
      <c r="T377" s="271">
        <v>53.8</v>
      </c>
      <c r="U377" s="271">
        <v>52.88</v>
      </c>
      <c r="V377" s="271">
        <v>53.12</v>
      </c>
      <c r="W377" s="271">
        <v>54.12</v>
      </c>
      <c r="X377" s="271">
        <v>55.74</v>
      </c>
      <c r="Y377" s="271">
        <v>56.58</v>
      </c>
      <c r="Z377" s="273">
        <f ca="1">[1]ExtEntry!$I78</f>
        <v>56.58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197.23</v>
      </c>
      <c r="G378" s="271">
        <v>197</v>
      </c>
      <c r="H378" s="271">
        <v>198.23</v>
      </c>
      <c r="I378" s="271">
        <v>198.09</v>
      </c>
      <c r="J378" s="271">
        <v>198.09</v>
      </c>
      <c r="K378" s="271">
        <v>188.28</v>
      </c>
      <c r="L378" s="271">
        <v>193.08</v>
      </c>
      <c r="M378" s="271">
        <v>187.01</v>
      </c>
      <c r="N378" s="271">
        <v>186.36</v>
      </c>
      <c r="O378" s="271">
        <v>186.89</v>
      </c>
      <c r="P378" s="271">
        <v>183.42</v>
      </c>
      <c r="Q378" s="271">
        <v>178.07499999999999</v>
      </c>
      <c r="R378" s="271">
        <v>176.05279999999999</v>
      </c>
      <c r="S378" s="271">
        <v>174.88</v>
      </c>
      <c r="T378" s="271">
        <v>174.02</v>
      </c>
      <c r="U378" s="271">
        <v>179.8</v>
      </c>
      <c r="V378" s="271">
        <v>179.69</v>
      </c>
      <c r="W378" s="271">
        <v>182.98</v>
      </c>
      <c r="X378" s="271">
        <v>185.095</v>
      </c>
      <c r="Y378" s="271">
        <v>184.34</v>
      </c>
      <c r="Z378" s="273">
        <f ca="1">[1]ExtEntry!$I79</f>
        <v>184.34</v>
      </c>
      <c r="AB378" s="283">
        <v>-1692</v>
      </c>
      <c r="AC378" s="283">
        <v>-504</v>
      </c>
      <c r="AD378" s="283">
        <v>-333.66000000000349</v>
      </c>
      <c r="AE378" s="283">
        <v>155.99999999998545</v>
      </c>
      <c r="AF378" s="283">
        <v>155.99999999998545</v>
      </c>
      <c r="AG378" s="283">
        <v>-4494.0000000000146</v>
      </c>
      <c r="AH378" s="283">
        <v>-702</v>
      </c>
      <c r="AI378" s="283">
        <v>-186.00000000001455</v>
      </c>
      <c r="AJ378" s="283">
        <v>0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737</v>
      </c>
      <c r="G379" s="271">
        <v>732.15</v>
      </c>
      <c r="H379" s="271">
        <v>723.87019999999995</v>
      </c>
      <c r="I379" s="271">
        <v>717.755</v>
      </c>
      <c r="J379" s="271">
        <v>717.755</v>
      </c>
      <c r="K379" s="271">
        <v>705.55</v>
      </c>
      <c r="L379" s="271">
        <v>738.33</v>
      </c>
      <c r="M379" s="271">
        <v>733.86</v>
      </c>
      <c r="N379" s="271">
        <v>745.02</v>
      </c>
      <c r="O379" s="271">
        <v>747.4</v>
      </c>
      <c r="P379" s="271">
        <v>738.9</v>
      </c>
      <c r="Q379" s="271">
        <v>721.15719999999999</v>
      </c>
      <c r="R379" s="271">
        <v>725.18</v>
      </c>
      <c r="S379" s="271">
        <v>722.3</v>
      </c>
      <c r="T379" s="271">
        <v>731.17010000000005</v>
      </c>
      <c r="U379" s="271">
        <v>733.57</v>
      </c>
      <c r="V379" s="271">
        <v>738.54</v>
      </c>
      <c r="W379" s="271">
        <v>761.625</v>
      </c>
      <c r="X379" s="271">
        <v>771.24</v>
      </c>
      <c r="Y379" s="271">
        <v>776.2577</v>
      </c>
      <c r="Z379" s="273">
        <f ca="1">[1]ExtEntry!$I80</f>
        <v>776.2577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2.41</v>
      </c>
      <c r="G380" s="271">
        <v>2.335</v>
      </c>
      <c r="H380" s="271">
        <v>2.1150000000000002</v>
      </c>
      <c r="I380" s="271">
        <v>1.93</v>
      </c>
      <c r="J380" s="271">
        <v>1.93</v>
      </c>
      <c r="K380" s="271">
        <v>1.92</v>
      </c>
      <c r="L380" s="271">
        <v>1.915</v>
      </c>
      <c r="M380" s="271">
        <v>1.8149999999999999</v>
      </c>
      <c r="N380" s="271">
        <v>1.82</v>
      </c>
      <c r="O380" s="271">
        <v>1.77</v>
      </c>
      <c r="P380" s="271">
        <v>1.69</v>
      </c>
      <c r="Q380" s="271">
        <v>1.6</v>
      </c>
      <c r="R380" s="271">
        <v>1.62</v>
      </c>
      <c r="S380" s="271">
        <v>1.6</v>
      </c>
      <c r="T380" s="271">
        <v>1.6</v>
      </c>
      <c r="U380" s="271">
        <v>1.62</v>
      </c>
      <c r="V380" s="271">
        <v>1.7</v>
      </c>
      <c r="W380" s="271">
        <v>1.67</v>
      </c>
      <c r="X380" s="271">
        <v>1.675</v>
      </c>
      <c r="Y380" s="271">
        <v>1.7535000000000001</v>
      </c>
      <c r="Z380" s="273">
        <f ca="1">[1]ExtEntry!$I81</f>
        <v>1.7535000000000001</v>
      </c>
      <c r="AB380" s="283">
        <v>-232.77000000000407</v>
      </c>
      <c r="AC380" s="283">
        <v>-1939.75</v>
      </c>
      <c r="AD380" s="283">
        <v>-1959.9233999999997</v>
      </c>
      <c r="AE380" s="283">
        <v>-2832.0349999999962</v>
      </c>
      <c r="AF380" s="283">
        <v>-2832.0349999999962</v>
      </c>
      <c r="AG380" s="283">
        <v>465.54000000000087</v>
      </c>
      <c r="AH380" s="283">
        <v>-931.08000000000175</v>
      </c>
      <c r="AI380" s="283">
        <v>-1396.6199999999953</v>
      </c>
      <c r="AJ380" s="283">
        <v>-155.18000000000029</v>
      </c>
      <c r="AK380" s="283">
        <v>-996.25560000000041</v>
      </c>
      <c r="AL380" s="283">
        <v>-931.08000000000175</v>
      </c>
      <c r="AM380" s="283">
        <v>-698.30999999999767</v>
      </c>
      <c r="AN380" s="283">
        <v>310.35999999999694</v>
      </c>
      <c r="AO380" s="283">
        <v>310.35999999999694</v>
      </c>
      <c r="AP380" s="283">
        <v>775.90000000000146</v>
      </c>
      <c r="AQ380" s="283">
        <v>310.36000000000058</v>
      </c>
      <c r="AR380" s="283">
        <v>0</v>
      </c>
      <c r="AS380" s="283">
        <v>-620.72000000000116</v>
      </c>
      <c r="AT380" s="283">
        <v>1396.6200000000026</v>
      </c>
      <c r="AU380" s="283">
        <v>1319.0300000000025</v>
      </c>
      <c r="AV380" s="283">
        <f ca="1">Calc!AM81</f>
        <v>1319.0300000000025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30.22</v>
      </c>
      <c r="G381" s="271">
        <v>30.75</v>
      </c>
      <c r="H381" s="271">
        <v>31.02</v>
      </c>
      <c r="I381" s="271">
        <v>31.225000000000001</v>
      </c>
      <c r="J381" s="271">
        <v>31.225000000000001</v>
      </c>
      <c r="K381" s="271">
        <v>31.1</v>
      </c>
      <c r="L381" s="271">
        <v>32.42</v>
      </c>
      <c r="M381" s="271">
        <v>32.494999999999997</v>
      </c>
      <c r="N381" s="271">
        <v>33.024999999999999</v>
      </c>
      <c r="O381" s="271">
        <v>32.545000000000002</v>
      </c>
      <c r="P381" s="271">
        <v>32.630000000000003</v>
      </c>
      <c r="Q381" s="271">
        <v>31.76</v>
      </c>
      <c r="R381" s="271">
        <v>32.159999999999997</v>
      </c>
      <c r="S381" s="271">
        <v>32.119999999999997</v>
      </c>
      <c r="T381" s="271">
        <v>30.9</v>
      </c>
      <c r="U381" s="271">
        <v>31.195</v>
      </c>
      <c r="V381" s="271">
        <v>30.635000000000002</v>
      </c>
      <c r="W381" s="271">
        <v>30.574999999999999</v>
      </c>
      <c r="X381" s="271">
        <v>30.6</v>
      </c>
      <c r="Y381" s="271">
        <v>31.54</v>
      </c>
      <c r="Z381" s="273">
        <f ca="1">[1]ExtEntry!$I82</f>
        <v>31.54</v>
      </c>
      <c r="AB381" s="287">
        <v>-82.559999999997672</v>
      </c>
      <c r="AC381" s="287">
        <v>942</v>
      </c>
      <c r="AD381" s="287">
        <v>18</v>
      </c>
      <c r="AE381" s="287">
        <v>132</v>
      </c>
      <c r="AF381" s="287">
        <v>132</v>
      </c>
      <c r="AG381" s="287">
        <v>-60</v>
      </c>
      <c r="AH381" s="287">
        <v>114</v>
      </c>
      <c r="AI381" s="287">
        <v>1050</v>
      </c>
      <c r="AJ381" s="287">
        <v>-204</v>
      </c>
      <c r="AK381" s="287">
        <v>-726.00000000000728</v>
      </c>
      <c r="AL381" s="287">
        <v>-144.00000000000728</v>
      </c>
      <c r="AM381" s="287">
        <v>-668.64000000000669</v>
      </c>
      <c r="AN381" s="287">
        <v>576</v>
      </c>
      <c r="AO381" s="287">
        <v>204.00000000000728</v>
      </c>
      <c r="AP381" s="287">
        <v>-1500</v>
      </c>
      <c r="AQ381" s="287">
        <v>540</v>
      </c>
      <c r="AR381" s="287">
        <v>-744</v>
      </c>
      <c r="AS381" s="287">
        <v>360</v>
      </c>
      <c r="AT381" s="287">
        <v>612</v>
      </c>
      <c r="AU381" s="287">
        <v>-246</v>
      </c>
      <c r="AV381" s="283">
        <f ca="1">Calc!AM82</f>
        <v>-246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575.5</v>
      </c>
      <c r="G382" s="271">
        <v>582.54750000000001</v>
      </c>
      <c r="H382" s="271">
        <v>580.69000000000005</v>
      </c>
      <c r="I382" s="271">
        <v>584.41</v>
      </c>
      <c r="J382" s="271">
        <v>584.41</v>
      </c>
      <c r="K382" s="271">
        <v>585.91</v>
      </c>
      <c r="L382" s="271">
        <v>592.86</v>
      </c>
      <c r="M382" s="271">
        <v>586.29499999999996</v>
      </c>
      <c r="N382" s="271">
        <v>589.82000000000005</v>
      </c>
      <c r="O382" s="271">
        <v>589.72</v>
      </c>
      <c r="P382" s="271">
        <v>590.26</v>
      </c>
      <c r="Q382" s="271">
        <v>586.09010000000001</v>
      </c>
      <c r="R382" s="271">
        <v>589.16499999999996</v>
      </c>
      <c r="S382" s="271">
        <v>588.96</v>
      </c>
      <c r="T382" s="271">
        <v>589.29089999999997</v>
      </c>
      <c r="U382" s="271">
        <v>580.70000000000005</v>
      </c>
      <c r="V382" s="271">
        <v>583.29999999999995</v>
      </c>
      <c r="W382" s="271">
        <v>571</v>
      </c>
      <c r="X382" s="271">
        <v>580.01</v>
      </c>
      <c r="Y382" s="271">
        <v>580</v>
      </c>
      <c r="Z382" s="273">
        <f ca="1">[1]ExtEntry!$I83</f>
        <v>580</v>
      </c>
      <c r="AB382" s="283">
        <v>-124</v>
      </c>
      <c r="AC382" s="283">
        <v>-256</v>
      </c>
      <c r="AD382" s="283">
        <v>-83.000000000014552</v>
      </c>
      <c r="AE382" s="283">
        <v>210.31999999999243</v>
      </c>
      <c r="AF382" s="283">
        <v>210.31999999999243</v>
      </c>
      <c r="AG382" s="283">
        <v>1400</v>
      </c>
      <c r="AH382" s="283">
        <v>-930.0000000000291</v>
      </c>
      <c r="AI382" s="283">
        <v>-294.00000000001455</v>
      </c>
      <c r="AJ382" s="283">
        <v>-96</v>
      </c>
      <c r="AK382" s="283">
        <v>-734.00000000001455</v>
      </c>
      <c r="AL382" s="283">
        <v>658</v>
      </c>
      <c r="AM382" s="283">
        <v>-1755</v>
      </c>
      <c r="AN382" s="283">
        <v>315.99999999998545</v>
      </c>
      <c r="AO382" s="283">
        <v>289.99999999998545</v>
      </c>
      <c r="AP382" s="283">
        <v>522</v>
      </c>
      <c r="AQ382" s="283">
        <v>858</v>
      </c>
      <c r="AR382" s="283">
        <v>44</v>
      </c>
      <c r="AS382" s="283">
        <v>-550</v>
      </c>
      <c r="AT382" s="283">
        <v>1712</v>
      </c>
      <c r="AU382" s="283">
        <v>-1112.0000000000146</v>
      </c>
      <c r="AV382" s="283">
        <f ca="1">Calc!AM83</f>
        <v>-1112.0000000000146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8.59</v>
      </c>
      <c r="G383" s="271">
        <v>9.3699999999999992</v>
      </c>
      <c r="H383" s="271">
        <v>9.92</v>
      </c>
      <c r="I383" s="271">
        <v>9.39</v>
      </c>
      <c r="J383" s="271">
        <v>9.39</v>
      </c>
      <c r="K383" s="271">
        <v>8.5500000000000007</v>
      </c>
      <c r="L383" s="271">
        <v>7.4349999999999996</v>
      </c>
      <c r="M383" s="271">
        <v>7.39</v>
      </c>
      <c r="N383" s="271">
        <v>7.36</v>
      </c>
      <c r="O383" s="271">
        <v>7.48</v>
      </c>
      <c r="P383" s="271">
        <v>7.4349999999999996</v>
      </c>
      <c r="Q383" s="271">
        <v>7.36</v>
      </c>
      <c r="R383" s="271">
        <v>7.5</v>
      </c>
      <c r="S383" s="271">
        <v>7.3849999999999998</v>
      </c>
      <c r="T383" s="271">
        <v>7.23</v>
      </c>
      <c r="U383" s="271">
        <v>7.63</v>
      </c>
      <c r="V383" s="271">
        <v>7.665</v>
      </c>
      <c r="W383" s="271">
        <v>7.8949999999999996</v>
      </c>
      <c r="X383" s="271">
        <v>8.01</v>
      </c>
      <c r="Y383" s="271">
        <v>7.83</v>
      </c>
      <c r="Z383" s="273">
        <f ca="1">[1]ExtEntry!$I84</f>
        <v>7.83</v>
      </c>
      <c r="AB383" s="287">
        <v>3849.9999999999854</v>
      </c>
      <c r="AC383" s="287">
        <v>-825.00000000001455</v>
      </c>
      <c r="AD383" s="287">
        <v>2255</v>
      </c>
      <c r="AE383" s="287">
        <v>-1651.1000000000058</v>
      </c>
      <c r="AF383" s="287">
        <v>-1651.1000000000058</v>
      </c>
      <c r="AG383" s="287">
        <v>220</v>
      </c>
      <c r="AH383" s="287">
        <v>-3630</v>
      </c>
      <c r="AI383" s="287">
        <v>0</v>
      </c>
      <c r="AJ383" s="287">
        <v>1430</v>
      </c>
      <c r="AK383" s="287">
        <v>-2860</v>
      </c>
      <c r="AL383" s="287">
        <v>-935</v>
      </c>
      <c r="AM383" s="287">
        <v>1210</v>
      </c>
      <c r="AN383" s="287">
        <v>440</v>
      </c>
      <c r="AO383" s="287">
        <v>-1320</v>
      </c>
      <c r="AP383" s="287">
        <v>4180</v>
      </c>
      <c r="AQ383" s="287">
        <v>-1430</v>
      </c>
      <c r="AR383" s="287">
        <v>2420</v>
      </c>
      <c r="AS383" s="287">
        <v>-550</v>
      </c>
      <c r="AT383" s="287">
        <v>2805</v>
      </c>
      <c r="AU383" s="287">
        <v>-2530.0000000000146</v>
      </c>
      <c r="AV383" s="283">
        <f ca="1">Calc!AM84</f>
        <v>-2530.0000000000146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120.78</v>
      </c>
      <c r="G384" s="271">
        <v>122.56</v>
      </c>
      <c r="H384" s="271">
        <v>123.78</v>
      </c>
      <c r="I384" s="271">
        <v>124.6801</v>
      </c>
      <c r="J384" s="271">
        <v>124.6801</v>
      </c>
      <c r="K384" s="271">
        <v>126.46</v>
      </c>
      <c r="L384" s="271">
        <v>124.99</v>
      </c>
      <c r="M384" s="271">
        <v>125.75</v>
      </c>
      <c r="N384" s="271">
        <v>126.26</v>
      </c>
      <c r="O384" s="271">
        <v>125.85</v>
      </c>
      <c r="P384" s="271">
        <v>126.045</v>
      </c>
      <c r="Q384" s="271">
        <v>125.87</v>
      </c>
      <c r="R384" s="271">
        <v>127.08</v>
      </c>
      <c r="S384" s="271">
        <v>126.96</v>
      </c>
      <c r="T384" s="271">
        <v>128.41</v>
      </c>
      <c r="U384" s="271">
        <v>127.83</v>
      </c>
      <c r="V384" s="271">
        <v>127.9</v>
      </c>
      <c r="W384" s="271">
        <v>126.09</v>
      </c>
      <c r="X384" s="271">
        <v>127.345</v>
      </c>
      <c r="Y384" s="271">
        <v>123.47</v>
      </c>
      <c r="Z384" s="273">
        <f ca="1">[1]ExtEntry!$I85</f>
        <v>123.47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14.28</v>
      </c>
      <c r="G385" s="271">
        <v>14.324999999999999</v>
      </c>
      <c r="H385" s="271">
        <v>14.45</v>
      </c>
      <c r="I385" s="271">
        <v>14.385</v>
      </c>
      <c r="J385" s="271">
        <v>14.385</v>
      </c>
      <c r="K385" s="271">
        <v>14.375</v>
      </c>
      <c r="L385" s="271">
        <v>14.18</v>
      </c>
      <c r="M385" s="271">
        <v>13.795</v>
      </c>
      <c r="N385" s="271">
        <v>13.565</v>
      </c>
      <c r="O385" s="271">
        <v>13.59</v>
      </c>
      <c r="P385" s="271">
        <v>13.824999999999999</v>
      </c>
      <c r="Q385" s="271">
        <v>13.725</v>
      </c>
      <c r="R385" s="271">
        <v>13.48</v>
      </c>
      <c r="S385" s="271">
        <v>13.43</v>
      </c>
      <c r="T385" s="271">
        <v>13.64</v>
      </c>
      <c r="U385" s="271">
        <v>13.465</v>
      </c>
      <c r="V385" s="271">
        <v>13.51</v>
      </c>
      <c r="W385" s="271">
        <v>13.525</v>
      </c>
      <c r="X385" s="271">
        <v>13.69</v>
      </c>
      <c r="Y385" s="271">
        <v>13.845000000000001</v>
      </c>
      <c r="Z385" s="273">
        <f ca="1">[1]ExtEntry!$I86</f>
        <v>13.845000000000001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43.98</v>
      </c>
      <c r="G386" s="271">
        <v>44.335000000000001</v>
      </c>
      <c r="H386" s="271">
        <v>43.67</v>
      </c>
      <c r="I386" s="271">
        <v>43.704999999999998</v>
      </c>
      <c r="J386" s="271">
        <v>43.704999999999998</v>
      </c>
      <c r="K386" s="271">
        <v>43.62</v>
      </c>
      <c r="L386" s="271">
        <v>45.54</v>
      </c>
      <c r="M386" s="271">
        <v>45.54</v>
      </c>
      <c r="N386" s="271">
        <v>45.87</v>
      </c>
      <c r="O386" s="271">
        <v>46.585000000000001</v>
      </c>
      <c r="P386" s="271">
        <v>47.435000000000002</v>
      </c>
      <c r="Q386" s="271">
        <v>47.06</v>
      </c>
      <c r="R386" s="271">
        <v>46.725000000000001</v>
      </c>
      <c r="S386" s="271">
        <v>46.05</v>
      </c>
      <c r="T386" s="271">
        <v>45</v>
      </c>
      <c r="U386" s="271">
        <v>44.77</v>
      </c>
      <c r="V386" s="271">
        <v>45.11</v>
      </c>
      <c r="W386" s="271">
        <v>44.98</v>
      </c>
      <c r="X386" s="271">
        <v>45.59</v>
      </c>
      <c r="Y386" s="271">
        <v>45.655000000000001</v>
      </c>
      <c r="Z386" s="273">
        <f ca="1">[1]ExtEntry!$I87</f>
        <v>45.655000000000001</v>
      </c>
      <c r="AB386" s="283">
        <v>-1520</v>
      </c>
      <c r="AC386" s="283">
        <v>600</v>
      </c>
      <c r="AD386" s="283">
        <v>359.60000000000582</v>
      </c>
      <c r="AE386" s="283">
        <v>-220</v>
      </c>
      <c r="AF386" s="283">
        <v>-220</v>
      </c>
      <c r="AG386" s="283">
        <v>1340</v>
      </c>
      <c r="AH386" s="283">
        <v>2760</v>
      </c>
      <c r="AI386" s="283">
        <v>-20</v>
      </c>
      <c r="AJ386" s="283">
        <v>3820</v>
      </c>
      <c r="AK386" s="283">
        <v>-320</v>
      </c>
      <c r="AL386" s="283">
        <v>240</v>
      </c>
      <c r="AM386" s="283">
        <v>1440</v>
      </c>
      <c r="AN386" s="283">
        <v>-3308</v>
      </c>
      <c r="AO386" s="283">
        <v>-5360</v>
      </c>
      <c r="AP386" s="283">
        <v>1240</v>
      </c>
      <c r="AQ386" s="283">
        <v>-3000</v>
      </c>
      <c r="AR386" s="283">
        <v>-2440</v>
      </c>
      <c r="AS386" s="283">
        <v>4660</v>
      </c>
      <c r="AT386" s="283">
        <v>1080</v>
      </c>
      <c r="AU386" s="283">
        <v>-2400</v>
      </c>
      <c r="AV386" s="283">
        <f ca="1">Calc!AM87</f>
        <v>-2400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24.815000000000001</v>
      </c>
      <c r="G387" s="271">
        <v>24.971900000000002</v>
      </c>
      <c r="H387" s="271">
        <v>25.024999999999999</v>
      </c>
      <c r="I387" s="271">
        <v>25.100100000000001</v>
      </c>
      <c r="J387" s="271">
        <v>25.100100000000001</v>
      </c>
      <c r="K387" s="271">
        <v>25.34</v>
      </c>
      <c r="L387" s="271">
        <v>25.11</v>
      </c>
      <c r="M387" s="271">
        <v>24.87</v>
      </c>
      <c r="N387" s="271">
        <v>24.85</v>
      </c>
      <c r="O387" s="271">
        <v>24.585000000000001</v>
      </c>
      <c r="P387" s="271">
        <v>24.510999999999999</v>
      </c>
      <c r="Q387" s="271">
        <v>24.73</v>
      </c>
      <c r="R387" s="271">
        <v>24.82</v>
      </c>
      <c r="S387" s="271">
        <v>24.72</v>
      </c>
      <c r="T387" s="271">
        <v>24.35</v>
      </c>
      <c r="U387" s="271">
        <v>24.31</v>
      </c>
      <c r="V387" s="271">
        <v>24.51</v>
      </c>
      <c r="W387" s="271">
        <v>24.45</v>
      </c>
      <c r="X387" s="271">
        <v>24.54</v>
      </c>
      <c r="Y387" s="271">
        <v>23.84</v>
      </c>
      <c r="Z387" s="273">
        <f ca="1">[1]ExtEntry!$I88</f>
        <v>23.84</v>
      </c>
      <c r="AB387" s="287">
        <v>-64</v>
      </c>
      <c r="AC387" s="287">
        <v>-296.15999999999622</v>
      </c>
      <c r="AD387" s="287">
        <v>-104</v>
      </c>
      <c r="AE387" s="287">
        <v>282.40000000000146</v>
      </c>
      <c r="AF387" s="287">
        <v>282.40000000000146</v>
      </c>
      <c r="AG387" s="287">
        <v>-24</v>
      </c>
      <c r="AH387" s="287">
        <v>-1200</v>
      </c>
      <c r="AI387" s="287">
        <v>-352</v>
      </c>
      <c r="AJ387" s="287">
        <v>88</v>
      </c>
      <c r="AK387" s="287">
        <v>-744</v>
      </c>
      <c r="AL387" s="287">
        <v>128</v>
      </c>
      <c r="AM387" s="287">
        <v>101.44000000000233</v>
      </c>
      <c r="AN387" s="287">
        <v>56</v>
      </c>
      <c r="AO387" s="287">
        <v>-144</v>
      </c>
      <c r="AP387" s="287">
        <v>-384</v>
      </c>
      <c r="AQ387" s="287">
        <v>-536</v>
      </c>
      <c r="AR387" s="287">
        <v>272</v>
      </c>
      <c r="AS387" s="287">
        <v>-80</v>
      </c>
      <c r="AT387" s="287">
        <v>384</v>
      </c>
      <c r="AU387" s="287">
        <v>-1488</v>
      </c>
      <c r="AV387" s="283">
        <f ca="1">Calc!AM88</f>
        <v>-1488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</v>
      </c>
      <c r="G388" s="271">
        <v>2.94</v>
      </c>
      <c r="H388" s="271">
        <v>2.89</v>
      </c>
      <c r="I388" s="271">
        <v>2.82</v>
      </c>
      <c r="J388" s="271">
        <v>2.82</v>
      </c>
      <c r="K388" s="271">
        <v>2.77</v>
      </c>
      <c r="L388" s="271">
        <v>3.05</v>
      </c>
      <c r="M388" s="271">
        <v>3.02</v>
      </c>
      <c r="N388" s="271">
        <v>3.02</v>
      </c>
      <c r="O388" s="271">
        <v>3.07</v>
      </c>
      <c r="P388" s="271">
        <v>3.02</v>
      </c>
      <c r="Q388" s="271">
        <v>2.992</v>
      </c>
      <c r="R388" s="271">
        <v>2.9801000000000002</v>
      </c>
      <c r="S388" s="271">
        <v>2.96</v>
      </c>
      <c r="T388" s="271">
        <v>2.9335</v>
      </c>
      <c r="U388" s="271">
        <v>3.0146999999999999</v>
      </c>
      <c r="V388" s="271">
        <v>3.12</v>
      </c>
      <c r="W388" s="271">
        <v>3.1150000000000002</v>
      </c>
      <c r="X388" s="271">
        <v>3.2</v>
      </c>
      <c r="Y388" s="271">
        <v>3.24</v>
      </c>
      <c r="Z388" s="273">
        <f ca="1">[1]ExtEntry!$I89</f>
        <v>3.24</v>
      </c>
      <c r="AB388" s="283">
        <v>-658</v>
      </c>
      <c r="AC388" s="283">
        <v>-1574.9999999999854</v>
      </c>
      <c r="AD388" s="283">
        <v>-353.5</v>
      </c>
      <c r="AE388" s="283">
        <v>-3325</v>
      </c>
      <c r="AF388" s="283">
        <v>-3325</v>
      </c>
      <c r="AG388" s="283">
        <v>-1925</v>
      </c>
      <c r="AH388" s="283">
        <v>525</v>
      </c>
      <c r="AI388" s="283">
        <v>-1925</v>
      </c>
      <c r="AJ388" s="283">
        <v>5425</v>
      </c>
      <c r="AK388" s="283">
        <v>-2985.5</v>
      </c>
      <c r="AL388" s="283">
        <v>-2100</v>
      </c>
      <c r="AM388" s="283">
        <v>525.00000000001455</v>
      </c>
      <c r="AN388" s="283">
        <v>-1043</v>
      </c>
      <c r="AO388" s="283">
        <v>-1049.9999999999854</v>
      </c>
      <c r="AP388" s="283">
        <v>4900</v>
      </c>
      <c r="AQ388" s="283">
        <v>1750</v>
      </c>
      <c r="AR388" s="283">
        <v>-1575.0000000000146</v>
      </c>
      <c r="AS388" s="283">
        <v>2975</v>
      </c>
      <c r="AT388" s="283">
        <v>1732.5</v>
      </c>
      <c r="AU388" s="283">
        <v>875</v>
      </c>
      <c r="AV388" s="283">
        <f ca="1">Calc!AM89</f>
        <v>875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33.96</v>
      </c>
      <c r="G389" s="271">
        <v>34.204999999999998</v>
      </c>
      <c r="H389" s="271">
        <v>32.81</v>
      </c>
      <c r="I389" s="271">
        <v>32.72</v>
      </c>
      <c r="J389" s="271">
        <v>32.72</v>
      </c>
      <c r="K389" s="271">
        <v>32.6</v>
      </c>
      <c r="L389" s="271">
        <v>33.08</v>
      </c>
      <c r="M389" s="271">
        <v>33.06</v>
      </c>
      <c r="N389" s="271">
        <v>33.81</v>
      </c>
      <c r="O389" s="271">
        <v>33.479999999999997</v>
      </c>
      <c r="P389" s="271">
        <v>34.090000000000003</v>
      </c>
      <c r="Q389" s="271">
        <v>33.781999999999996</v>
      </c>
      <c r="R389" s="271">
        <v>34.58</v>
      </c>
      <c r="S389" s="271">
        <v>34.06</v>
      </c>
      <c r="T389" s="271">
        <v>34.26</v>
      </c>
      <c r="U389" s="271">
        <v>33.94</v>
      </c>
      <c r="V389" s="271">
        <v>33.99</v>
      </c>
      <c r="W389" s="271">
        <v>34.03</v>
      </c>
      <c r="X389" s="271">
        <v>34.340000000000003</v>
      </c>
      <c r="Y389" s="271">
        <v>35.21</v>
      </c>
      <c r="Z389" s="273">
        <f ca="1">[1]ExtEntry!$I90</f>
        <v>35.21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74.47</v>
      </c>
      <c r="G390" s="263">
        <v>75.3125</v>
      </c>
      <c r="H390" s="263">
        <v>75.760000000000005</v>
      </c>
      <c r="I390" s="263">
        <v>74.045000000000002</v>
      </c>
      <c r="J390" s="263">
        <v>74.045000000000002</v>
      </c>
      <c r="K390" s="263">
        <v>71.45</v>
      </c>
      <c r="L390" s="263">
        <v>78.39</v>
      </c>
      <c r="M390" s="263">
        <v>77.73</v>
      </c>
      <c r="N390" s="263">
        <v>78.44</v>
      </c>
      <c r="O390" s="263">
        <v>79.756</v>
      </c>
      <c r="P390" s="263">
        <v>79.14</v>
      </c>
      <c r="Q390" s="263">
        <v>75.350399999999993</v>
      </c>
      <c r="R390" s="263">
        <v>75.34</v>
      </c>
      <c r="S390" s="263">
        <v>75.34</v>
      </c>
      <c r="T390" s="263">
        <v>73.72</v>
      </c>
      <c r="U390" s="263">
        <v>74.885000000000005</v>
      </c>
      <c r="V390" s="263">
        <v>75</v>
      </c>
      <c r="W390" s="263">
        <v>73.05</v>
      </c>
      <c r="X390" s="263">
        <v>73.446200000000005</v>
      </c>
      <c r="Y390" s="263">
        <v>72.844999999999999</v>
      </c>
      <c r="Z390" s="265">
        <f ca="1">[1]ExtEntry!$I91</f>
        <v>72.844999999999999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170.43</v>
      </c>
      <c r="G391" s="271">
        <v>167.86</v>
      </c>
      <c r="H391" s="271">
        <v>170.43</v>
      </c>
      <c r="I391" s="271">
        <v>172.03</v>
      </c>
      <c r="J391" s="271">
        <v>172.03</v>
      </c>
      <c r="K391" s="271">
        <v>178.28</v>
      </c>
      <c r="L391" s="271">
        <v>179.02500000000001</v>
      </c>
      <c r="M391" s="271">
        <v>179.51</v>
      </c>
      <c r="N391" s="271">
        <v>180.22</v>
      </c>
      <c r="O391" s="271">
        <v>181.155</v>
      </c>
      <c r="P391" s="271">
        <v>181.6</v>
      </c>
      <c r="Q391" s="271">
        <v>182.89500000000001</v>
      </c>
      <c r="R391" s="271">
        <v>183.1</v>
      </c>
      <c r="S391" s="271">
        <v>183.1</v>
      </c>
      <c r="T391" s="271">
        <v>187.495</v>
      </c>
      <c r="U391" s="271">
        <v>190.08359999999999</v>
      </c>
      <c r="V391" s="271">
        <v>185</v>
      </c>
      <c r="W391" s="271">
        <v>187.67</v>
      </c>
      <c r="X391" s="271">
        <v>191.39</v>
      </c>
      <c r="Y391" s="271">
        <v>191.36500000000001</v>
      </c>
      <c r="Z391" s="273">
        <f ca="1">[1]ExtEntry!$I92</f>
        <v>191.36500000000001</v>
      </c>
      <c r="AB391" s="287">
        <v>1126.25</v>
      </c>
      <c r="AC391" s="287">
        <v>-7327.2500000000582</v>
      </c>
      <c r="AD391" s="287">
        <v>5591.5</v>
      </c>
      <c r="AE391" s="287">
        <v>9222</v>
      </c>
      <c r="AF391" s="287">
        <v>9222</v>
      </c>
      <c r="AG391" s="287">
        <v>8268</v>
      </c>
      <c r="AH391" s="287">
        <v>821.50000000005821</v>
      </c>
      <c r="AI391" s="287">
        <v>874.5</v>
      </c>
      <c r="AJ391" s="287">
        <v>4584.4999999999418</v>
      </c>
      <c r="AK391" s="287">
        <v>-1629.7500000000582</v>
      </c>
      <c r="AL391" s="287">
        <v>424.00000000011642</v>
      </c>
      <c r="AM391" s="287">
        <v>5178.0999999999767</v>
      </c>
      <c r="AN391" s="287">
        <v>5246.9999999999418</v>
      </c>
      <c r="AO391" s="287">
        <v>5750.5</v>
      </c>
      <c r="AP391" s="287">
        <v>11554</v>
      </c>
      <c r="AQ391" s="287">
        <v>-7693</v>
      </c>
      <c r="AR391" s="287">
        <v>9459.9999999999418</v>
      </c>
      <c r="AS391" s="287">
        <v>-13860</v>
      </c>
      <c r="AT391" s="287">
        <v>2882</v>
      </c>
      <c r="AU391" s="287">
        <v>1430</v>
      </c>
      <c r="AV391" s="283">
        <f ca="1">Calc!AM92</f>
        <v>1430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15.62</v>
      </c>
      <c r="G393" s="271">
        <v>15.765000000000001</v>
      </c>
      <c r="H393" s="271">
        <v>15.7</v>
      </c>
      <c r="I393" s="271">
        <v>15.695</v>
      </c>
      <c r="J393" s="271">
        <v>15.695</v>
      </c>
      <c r="K393" s="271">
        <v>15.535</v>
      </c>
      <c r="L393" s="271">
        <v>15.285</v>
      </c>
      <c r="M393" s="271">
        <v>15.4</v>
      </c>
      <c r="N393" s="271">
        <v>15.545</v>
      </c>
      <c r="O393" s="271">
        <v>15.3</v>
      </c>
      <c r="P393" s="271">
        <v>15.07</v>
      </c>
      <c r="Q393" s="271">
        <v>14.67</v>
      </c>
      <c r="R393" s="271">
        <v>14.595000000000001</v>
      </c>
      <c r="S393" s="271">
        <v>14.84</v>
      </c>
      <c r="T393" s="271">
        <v>14.895</v>
      </c>
      <c r="U393" s="271">
        <v>15.205</v>
      </c>
      <c r="V393" s="271">
        <v>15.265000000000001</v>
      </c>
      <c r="W393" s="271">
        <v>15.195</v>
      </c>
      <c r="X393" s="271">
        <v>15.21</v>
      </c>
      <c r="Y393" s="271">
        <v>15.33</v>
      </c>
      <c r="Z393" s="273">
        <f ca="1">[1]ExtEntry!$I94</f>
        <v>15.33</v>
      </c>
      <c r="AB393" s="287">
        <v>-360</v>
      </c>
      <c r="AC393" s="287">
        <v>-1920.0000000000291</v>
      </c>
      <c r="AD393" s="287">
        <v>-1920</v>
      </c>
      <c r="AE393" s="287">
        <v>-1200</v>
      </c>
      <c r="AF393" s="287">
        <v>-1200</v>
      </c>
      <c r="AG393" s="287">
        <v>-1980</v>
      </c>
      <c r="AH393" s="287">
        <v>480</v>
      </c>
      <c r="AI393" s="287">
        <v>300</v>
      </c>
      <c r="AJ393" s="287">
        <v>360</v>
      </c>
      <c r="AK393" s="287">
        <v>-2520</v>
      </c>
      <c r="AL393" s="287">
        <v>-2040</v>
      </c>
      <c r="AM393" s="287">
        <v>-5525</v>
      </c>
      <c r="AN393" s="287">
        <v>-1020</v>
      </c>
      <c r="AO393" s="287">
        <v>2975</v>
      </c>
      <c r="AP393" s="287">
        <v>2210</v>
      </c>
      <c r="AQ393" s="287">
        <v>1700</v>
      </c>
      <c r="AR393" s="287">
        <v>-680</v>
      </c>
      <c r="AS393" s="287">
        <v>1360</v>
      </c>
      <c r="AT393" s="287">
        <v>-765</v>
      </c>
      <c r="AU393" s="287">
        <v>2975</v>
      </c>
      <c r="AV393" s="283">
        <f ca="1">Calc!AM94</f>
        <v>2975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9.5630000000000006</v>
      </c>
      <c r="G394" s="372">
        <v>9.58</v>
      </c>
      <c r="H394" s="263">
        <v>9.6440000000000001</v>
      </c>
      <c r="I394" s="263">
        <v>9.6560000000000006</v>
      </c>
      <c r="J394" s="263">
        <v>9.6560000000000006</v>
      </c>
      <c r="K394" s="263">
        <v>9.4939999999999998</v>
      </c>
      <c r="L394" s="263">
        <v>9.5660000000000007</v>
      </c>
      <c r="M394" s="263">
        <v>9.6349999999999998</v>
      </c>
      <c r="N394" s="263">
        <v>9.77</v>
      </c>
      <c r="O394" s="263">
        <v>9.8829999999999991</v>
      </c>
      <c r="P394" s="263">
        <v>9.9779999999999998</v>
      </c>
      <c r="Q394" s="263">
        <v>9.8000000000000007</v>
      </c>
      <c r="R394" s="263">
        <v>9.8390000000000004</v>
      </c>
      <c r="S394" s="263">
        <v>9.8949999999999996</v>
      </c>
      <c r="T394" s="263">
        <v>10</v>
      </c>
      <c r="U394" s="263">
        <v>10.119999999999999</v>
      </c>
      <c r="V394" s="263">
        <v>10.167999999999999</v>
      </c>
      <c r="W394" s="263">
        <v>10.288</v>
      </c>
      <c r="X394" s="263">
        <v>10.26</v>
      </c>
      <c r="Y394" s="263">
        <v>10.3</v>
      </c>
      <c r="Z394" s="265">
        <f ca="1">[1]ExtEntry!$I95</f>
        <v>10.3</v>
      </c>
      <c r="AB394" s="283">
        <v>-13878</v>
      </c>
      <c r="AC394" s="283">
        <v>-2459.4899999998743</v>
      </c>
      <c r="AD394" s="283">
        <v>2312.9999999998836</v>
      </c>
      <c r="AE394" s="283">
        <v>-2312.9999999998836</v>
      </c>
      <c r="AF394" s="283">
        <v>-2312.9999999998836</v>
      </c>
      <c r="AG394" s="283">
        <v>-5397</v>
      </c>
      <c r="AH394" s="283">
        <v>18195.599999999977</v>
      </c>
      <c r="AI394" s="283">
        <v>2081.6999999999534</v>
      </c>
      <c r="AJ394" s="283">
        <v>6938.9999999998836</v>
      </c>
      <c r="AK394" s="283">
        <v>4548.9000000000233</v>
      </c>
      <c r="AL394" s="283">
        <v>154.20000000006985</v>
      </c>
      <c r="AM394" s="283">
        <v>-13646.699999999953</v>
      </c>
      <c r="AN394" s="283">
        <v>-2467.2000000000698</v>
      </c>
      <c r="AO394" s="283">
        <v>925.19999999995343</v>
      </c>
      <c r="AP394" s="283">
        <v>-1079.3999999999069</v>
      </c>
      <c r="AQ394" s="283">
        <v>2313.0000000001164</v>
      </c>
      <c r="AR394" s="283">
        <v>-2467.1999999999534</v>
      </c>
      <c r="AS394" s="283">
        <v>-1387.8000000000466</v>
      </c>
      <c r="AT394" s="283">
        <v>10177.199999999953</v>
      </c>
      <c r="AU394" s="283">
        <v>-5782.5</v>
      </c>
      <c r="AV394" s="283">
        <f ca="1">Calc!AM95</f>
        <v>-5782.5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45887</v>
      </c>
      <c r="G399" s="128">
        <f t="shared" si="25"/>
        <v>45888</v>
      </c>
      <c r="H399" s="128">
        <f t="shared" si="25"/>
        <v>45889</v>
      </c>
      <c r="I399" s="128">
        <f t="shared" si="25"/>
        <v>45890</v>
      </c>
      <c r="J399" s="128">
        <f t="shared" si="25"/>
        <v>45891</v>
      </c>
      <c r="K399" s="128">
        <f t="shared" si="25"/>
        <v>45894</v>
      </c>
      <c r="L399" s="128">
        <f t="shared" si="25"/>
        <v>45895</v>
      </c>
      <c r="M399" s="128">
        <f t="shared" si="25"/>
        <v>45896</v>
      </c>
      <c r="N399" s="128">
        <f t="shared" si="25"/>
        <v>45897</v>
      </c>
      <c r="O399" s="128">
        <f t="shared" si="25"/>
        <v>45898</v>
      </c>
      <c r="P399" s="128">
        <f t="shared" si="25"/>
        <v>45901</v>
      </c>
      <c r="Q399" s="128">
        <f t="shared" si="25"/>
        <v>45902</v>
      </c>
      <c r="R399" s="128">
        <f t="shared" si="25"/>
        <v>45903</v>
      </c>
      <c r="S399" s="128">
        <f t="shared" si="25"/>
        <v>45904</v>
      </c>
      <c r="T399" s="128">
        <f t="shared" si="25"/>
        <v>45905</v>
      </c>
      <c r="U399" s="128">
        <f t="shared" si="25"/>
        <v>45908</v>
      </c>
      <c r="V399" s="128">
        <f t="shared" si="25"/>
        <v>45909</v>
      </c>
      <c r="W399" s="128">
        <f t="shared" si="25"/>
        <v>45910</v>
      </c>
      <c r="X399" s="128">
        <f t="shared" si="25"/>
        <v>45911</v>
      </c>
      <c r="Y399" s="128">
        <f t="shared" si="25"/>
        <v>45912</v>
      </c>
      <c r="Z399" s="128">
        <f t="shared" ca="1" si="25"/>
        <v>45912</v>
      </c>
      <c r="AB399" s="128">
        <f t="shared" ref="AB399:AV399" si="26">AB300</f>
        <v>45887</v>
      </c>
      <c r="AC399" s="128">
        <f t="shared" si="26"/>
        <v>45888</v>
      </c>
      <c r="AD399" s="128">
        <f t="shared" si="26"/>
        <v>45889</v>
      </c>
      <c r="AE399" s="128">
        <f t="shared" si="26"/>
        <v>45890</v>
      </c>
      <c r="AF399" s="128">
        <f t="shared" si="26"/>
        <v>45891</v>
      </c>
      <c r="AG399" s="128">
        <f t="shared" si="26"/>
        <v>45894</v>
      </c>
      <c r="AH399" s="128">
        <f t="shared" si="26"/>
        <v>45895</v>
      </c>
      <c r="AI399" s="128">
        <f t="shared" si="26"/>
        <v>45896</v>
      </c>
      <c r="AJ399" s="128">
        <f t="shared" si="26"/>
        <v>45897</v>
      </c>
      <c r="AK399" s="128">
        <f t="shared" si="26"/>
        <v>45898</v>
      </c>
      <c r="AL399" s="128">
        <f t="shared" si="26"/>
        <v>45901</v>
      </c>
      <c r="AM399" s="128">
        <f t="shared" si="26"/>
        <v>45902</v>
      </c>
      <c r="AN399" s="128">
        <f t="shared" si="26"/>
        <v>45903</v>
      </c>
      <c r="AO399" s="128">
        <f t="shared" si="26"/>
        <v>45904</v>
      </c>
      <c r="AP399" s="128">
        <f t="shared" si="26"/>
        <v>45905</v>
      </c>
      <c r="AQ399" s="128">
        <f t="shared" si="26"/>
        <v>45908</v>
      </c>
      <c r="AR399" s="128">
        <f t="shared" si="26"/>
        <v>45909</v>
      </c>
      <c r="AS399" s="128">
        <f t="shared" si="26"/>
        <v>45910</v>
      </c>
      <c r="AT399" s="128">
        <f t="shared" si="26"/>
        <v>45911</v>
      </c>
      <c r="AU399" s="128">
        <f t="shared" si="26"/>
        <v>45912</v>
      </c>
      <c r="AV399" s="128">
        <f t="shared" ca="1" si="26"/>
        <v>45912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235.11</v>
      </c>
      <c r="G401" s="263">
        <v>234.22139999999999</v>
      </c>
      <c r="H401" s="263">
        <v>233.12</v>
      </c>
      <c r="I401" s="263">
        <v>232.86500000000001</v>
      </c>
      <c r="J401" s="263">
        <v>232.86500000000001</v>
      </c>
      <c r="K401" s="263">
        <v>230.47</v>
      </c>
      <c r="L401" s="263">
        <v>229.3</v>
      </c>
      <c r="M401" s="263">
        <v>229.49</v>
      </c>
      <c r="N401" s="263">
        <v>230.9</v>
      </c>
      <c r="O401" s="263">
        <v>231.9</v>
      </c>
      <c r="P401" s="263">
        <v>233.38</v>
      </c>
      <c r="Q401" s="263">
        <v>230.78</v>
      </c>
      <c r="R401" s="263">
        <v>237.97</v>
      </c>
      <c r="S401" s="263">
        <v>238.85</v>
      </c>
      <c r="T401" s="263">
        <v>239.8999</v>
      </c>
      <c r="U401" s="263">
        <v>240.15</v>
      </c>
      <c r="V401" s="263">
        <v>238.78049999999999</v>
      </c>
      <c r="W401" s="263">
        <v>232.42</v>
      </c>
      <c r="X401" s="263">
        <v>230.45</v>
      </c>
      <c r="Y401" s="263">
        <v>234.51</v>
      </c>
      <c r="Z401" s="265">
        <f ca="1">[1]ExtEntry!$J3</f>
        <v>234.51</v>
      </c>
      <c r="AB401" s="284">
        <v>70705.89000000013</v>
      </c>
      <c r="AC401" s="284">
        <v>-27472.5</v>
      </c>
      <c r="AD401" s="284">
        <v>-4939.5</v>
      </c>
      <c r="AE401" s="284">
        <v>-31968</v>
      </c>
      <c r="AF401" s="284">
        <v>-28971</v>
      </c>
      <c r="AG401" s="284">
        <v>-22422</v>
      </c>
      <c r="AH401" s="284">
        <v>37962</v>
      </c>
      <c r="AI401" s="284">
        <v>34965</v>
      </c>
      <c r="AJ401" s="284">
        <v>33966</v>
      </c>
      <c r="AK401" s="284">
        <v>19645.89000000013</v>
      </c>
      <c r="AL401" s="284">
        <v>39960</v>
      </c>
      <c r="AM401" s="284">
        <v>-28751.219999999739</v>
      </c>
      <c r="AN401" s="284">
        <v>-17811.060000000056</v>
      </c>
      <c r="AO401" s="284">
        <v>-13098</v>
      </c>
      <c r="AP401" s="284">
        <v>8215.1099999998696</v>
      </c>
      <c r="AQ401" s="284">
        <v>-11655</v>
      </c>
      <c r="AR401" s="284">
        <v>-8211.7800000002608</v>
      </c>
      <c r="AS401" s="284">
        <v>-49621.439999999944</v>
      </c>
      <c r="AT401" s="284">
        <v>25488</v>
      </c>
      <c r="AU401" s="284">
        <v>37617</v>
      </c>
      <c r="AV401" s="283">
        <f t="shared" ref="AV401:AV432" ca="1" si="27">AV302-AP302</f>
        <v>37617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15.17</v>
      </c>
      <c r="G402" s="271">
        <v>15.04</v>
      </c>
      <c r="H402" s="271">
        <v>15</v>
      </c>
      <c r="I402" s="271">
        <v>15.39</v>
      </c>
      <c r="J402" s="271">
        <v>15.39</v>
      </c>
      <c r="K402" s="271">
        <v>14.78</v>
      </c>
      <c r="L402" s="271">
        <v>15.692</v>
      </c>
      <c r="M402" s="271">
        <v>15.775</v>
      </c>
      <c r="N402" s="271">
        <v>15.68</v>
      </c>
      <c r="O402" s="271">
        <v>15.725</v>
      </c>
      <c r="P402" s="271">
        <v>15.55</v>
      </c>
      <c r="Q402" s="271">
        <v>15.164999999999999</v>
      </c>
      <c r="R402" s="271">
        <v>14.98</v>
      </c>
      <c r="S402" s="271">
        <v>15.26</v>
      </c>
      <c r="T402" s="271">
        <v>15.44</v>
      </c>
      <c r="U402" s="271">
        <v>15.545</v>
      </c>
      <c r="V402" s="271">
        <v>15.4</v>
      </c>
      <c r="W402" s="271">
        <v>15.37</v>
      </c>
      <c r="X402" s="271">
        <v>15.68</v>
      </c>
      <c r="Y402" s="271">
        <v>15.79</v>
      </c>
      <c r="Z402" s="273">
        <f ca="1">[1]ExtEntry!$J4</f>
        <v>15.79</v>
      </c>
      <c r="AB402" s="288">
        <v>570</v>
      </c>
      <c r="AC402" s="288">
        <v>-180</v>
      </c>
      <c r="AD402" s="288">
        <v>660</v>
      </c>
      <c r="AE402" s="288">
        <v>-6480</v>
      </c>
      <c r="AF402" s="288">
        <v>-3240</v>
      </c>
      <c r="AG402" s="288">
        <v>510</v>
      </c>
      <c r="AH402" s="288">
        <v>960</v>
      </c>
      <c r="AI402" s="288">
        <v>-1320</v>
      </c>
      <c r="AJ402" s="288">
        <v>4080</v>
      </c>
      <c r="AK402" s="288">
        <v>1680</v>
      </c>
      <c r="AL402" s="288">
        <v>-1620</v>
      </c>
      <c r="AM402" s="288">
        <v>0</v>
      </c>
      <c r="AN402" s="288">
        <v>720</v>
      </c>
      <c r="AO402" s="288">
        <v>4020</v>
      </c>
      <c r="AP402" s="288">
        <v>2340</v>
      </c>
      <c r="AQ402" s="288">
        <v>1620</v>
      </c>
      <c r="AR402" s="288">
        <v>-540</v>
      </c>
      <c r="AS402" s="288">
        <v>-2580</v>
      </c>
      <c r="AT402" s="288">
        <v>-480</v>
      </c>
      <c r="AU402" s="288">
        <v>-1380</v>
      </c>
      <c r="AV402" s="287">
        <f t="shared" ca="1" si="27"/>
        <v>-1380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48.2</v>
      </c>
      <c r="G403" s="263">
        <v>47</v>
      </c>
      <c r="H403" s="263">
        <v>47</v>
      </c>
      <c r="I403" s="263">
        <v>48.4</v>
      </c>
      <c r="J403" s="263">
        <v>48.4</v>
      </c>
      <c r="K403" s="263">
        <v>46.4</v>
      </c>
      <c r="L403" s="263">
        <v>49.5</v>
      </c>
      <c r="M403" s="263">
        <v>49.6</v>
      </c>
      <c r="N403" s="263">
        <v>49.6</v>
      </c>
      <c r="O403" s="263">
        <v>49</v>
      </c>
      <c r="P403" s="263">
        <v>51.4</v>
      </c>
      <c r="Q403" s="263">
        <v>52</v>
      </c>
      <c r="R403" s="263">
        <v>52</v>
      </c>
      <c r="S403" s="263">
        <v>52</v>
      </c>
      <c r="T403" s="263">
        <v>54.4</v>
      </c>
      <c r="U403" s="263">
        <v>56.2</v>
      </c>
      <c r="V403" s="263">
        <v>55.4</v>
      </c>
      <c r="W403" s="263">
        <v>55</v>
      </c>
      <c r="X403" s="263">
        <v>52.4</v>
      </c>
      <c r="Y403" s="263">
        <v>52.8</v>
      </c>
      <c r="Z403" s="265">
        <f ca="1">[1]ExtEntry!$J5</f>
        <v>52.8</v>
      </c>
      <c r="AB403" s="284">
        <v>-12480</v>
      </c>
      <c r="AC403" s="284">
        <v>12246</v>
      </c>
      <c r="AD403" s="284">
        <v>21840</v>
      </c>
      <c r="AE403" s="284">
        <v>-25740</v>
      </c>
      <c r="AF403" s="284">
        <v>-16380</v>
      </c>
      <c r="AG403" s="284">
        <v>12480</v>
      </c>
      <c r="AH403" s="284">
        <v>9594</v>
      </c>
      <c r="AI403" s="284">
        <v>780</v>
      </c>
      <c r="AJ403" s="284">
        <v>5460</v>
      </c>
      <c r="AK403" s="284">
        <v>13826.280000000028</v>
      </c>
      <c r="AL403" s="284">
        <v>5494.320000000007</v>
      </c>
      <c r="AM403" s="284">
        <v>9360</v>
      </c>
      <c r="AN403" s="284">
        <v>-7800</v>
      </c>
      <c r="AO403" s="284">
        <v>-14820</v>
      </c>
      <c r="AP403" s="284">
        <v>-2126.2800000000279</v>
      </c>
      <c r="AQ403" s="284">
        <v>-7054.320000000007</v>
      </c>
      <c r="AR403" s="284">
        <v>-18720</v>
      </c>
      <c r="AS403" s="284">
        <v>-14040</v>
      </c>
      <c r="AT403" s="284">
        <v>1560</v>
      </c>
      <c r="AU403" s="284">
        <v>17160</v>
      </c>
      <c r="AV403" s="283">
        <f t="shared" ca="1" si="27"/>
        <v>17160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231.63</v>
      </c>
      <c r="G404" s="271">
        <v>234.08</v>
      </c>
      <c r="H404" s="271">
        <v>230.91</v>
      </c>
      <c r="I404" s="271">
        <v>230.5283</v>
      </c>
      <c r="J404" s="271">
        <v>230.5283</v>
      </c>
      <c r="K404" s="271">
        <v>227.27</v>
      </c>
      <c r="L404" s="271">
        <v>229.6</v>
      </c>
      <c r="M404" s="271">
        <v>229</v>
      </c>
      <c r="N404" s="271">
        <v>229.87</v>
      </c>
      <c r="O404" s="271">
        <v>232.5471</v>
      </c>
      <c r="P404" s="271">
        <v>231.8125</v>
      </c>
      <c r="Q404" s="271">
        <v>225.41</v>
      </c>
      <c r="R404" s="271">
        <v>227.16990000000001</v>
      </c>
      <c r="S404" s="271">
        <v>227.16990000000001</v>
      </c>
      <c r="T404" s="271">
        <v>235.77</v>
      </c>
      <c r="U404" s="271">
        <v>237.6</v>
      </c>
      <c r="V404" s="271">
        <v>238.85</v>
      </c>
      <c r="W404" s="271">
        <v>237.68</v>
      </c>
      <c r="X404" s="271">
        <v>231.53</v>
      </c>
      <c r="Y404" s="271">
        <v>230.79</v>
      </c>
      <c r="Z404" s="273">
        <f ca="1">[1]ExtEntry!$J6</f>
        <v>230.79</v>
      </c>
      <c r="AB404" s="288">
        <v>70982.040000000037</v>
      </c>
      <c r="AC404" s="288">
        <v>-1220</v>
      </c>
      <c r="AD404" s="288">
        <v>10980</v>
      </c>
      <c r="AE404" s="288">
        <v>-21350</v>
      </c>
      <c r="AF404" s="288">
        <v>-59841</v>
      </c>
      <c r="AG404" s="288">
        <v>-86049.040000000037</v>
      </c>
      <c r="AH404" s="288">
        <v>18422</v>
      </c>
      <c r="AI404" s="288">
        <v>18544</v>
      </c>
      <c r="AJ404" s="288">
        <v>37454</v>
      </c>
      <c r="AK404" s="288">
        <v>70968.620000000112</v>
      </c>
      <c r="AL404" s="288">
        <v>12078</v>
      </c>
      <c r="AM404" s="288">
        <v>-20826.620000000112</v>
      </c>
      <c r="AN404" s="288">
        <v>1830</v>
      </c>
      <c r="AO404" s="288">
        <v>-10004</v>
      </c>
      <c r="AP404" s="288">
        <v>14614.379999999888</v>
      </c>
      <c r="AQ404" s="288">
        <v>39284</v>
      </c>
      <c r="AR404" s="288">
        <v>36625.620000000112</v>
      </c>
      <c r="AS404" s="288">
        <v>-96685</v>
      </c>
      <c r="AT404" s="288">
        <v>-23607</v>
      </c>
      <c r="AU404" s="288">
        <v>-81679</v>
      </c>
      <c r="AV404" s="287">
        <f t="shared" ca="1" si="27"/>
        <v>-81679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0.95799999999999996</v>
      </c>
      <c r="J405" s="263">
        <v>0.95799999999999996</v>
      </c>
      <c r="K405" s="263">
        <v>0.94</v>
      </c>
      <c r="L405" s="263">
        <v>0.93799999999999994</v>
      </c>
      <c r="M405" s="263">
        <v>0.92800000000000005</v>
      </c>
      <c r="N405" s="263">
        <v>0.91800000000000004</v>
      </c>
      <c r="O405" s="263">
        <v>0.91800000000000004</v>
      </c>
      <c r="P405" s="263">
        <v>0.94</v>
      </c>
      <c r="Q405" s="263">
        <v>0.92</v>
      </c>
      <c r="R405" s="263">
        <v>0.92800000000000005</v>
      </c>
      <c r="S405" s="263">
        <v>0.91800000000000004</v>
      </c>
      <c r="T405" s="263">
        <v>0.89200000000000002</v>
      </c>
      <c r="U405" s="263">
        <v>0.90800000000000003</v>
      </c>
      <c r="V405" s="263">
        <v>0.90600000000000003</v>
      </c>
      <c r="W405" s="263">
        <v>0.91</v>
      </c>
      <c r="X405" s="263">
        <v>0.88800000000000001</v>
      </c>
      <c r="Y405" s="263">
        <v>0.89</v>
      </c>
      <c r="Z405" s="265">
        <f ca="1">[1]ExtEntry!$J7</f>
        <v>0.89</v>
      </c>
      <c r="AB405" s="284">
        <v>55660</v>
      </c>
      <c r="AC405" s="284">
        <v>-75900</v>
      </c>
      <c r="AD405" s="284">
        <v>-25300</v>
      </c>
      <c r="AE405" s="284">
        <v>-136620</v>
      </c>
      <c r="AF405" s="284">
        <v>-30360</v>
      </c>
      <c r="AG405" s="284">
        <v>0</v>
      </c>
      <c r="AH405" s="284">
        <v>20240</v>
      </c>
      <c r="AI405" s="284">
        <v>0</v>
      </c>
      <c r="AJ405" s="284">
        <v>45540</v>
      </c>
      <c r="AK405" s="284">
        <v>25300</v>
      </c>
      <c r="AL405" s="284">
        <v>-75900</v>
      </c>
      <c r="AM405" s="284">
        <v>5060</v>
      </c>
      <c r="AN405" s="284">
        <v>75900</v>
      </c>
      <c r="AO405" s="284">
        <v>-45540</v>
      </c>
      <c r="AP405" s="284">
        <v>0</v>
      </c>
      <c r="AQ405" s="284">
        <v>45540</v>
      </c>
      <c r="AR405" s="284">
        <v>55660</v>
      </c>
      <c r="AS405" s="284">
        <v>-50600</v>
      </c>
      <c r="AT405" s="284">
        <v>111320</v>
      </c>
      <c r="AU405" s="284">
        <v>5060</v>
      </c>
      <c r="AV405" s="283">
        <f t="shared" ca="1" si="27"/>
        <v>5060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646.5</v>
      </c>
      <c r="G406" s="271">
        <v>639.79999999999995</v>
      </c>
      <c r="H406" s="271">
        <v>638</v>
      </c>
      <c r="I406" s="271">
        <v>647.5</v>
      </c>
      <c r="J406" s="271">
        <v>647.5</v>
      </c>
      <c r="K406" s="271">
        <v>652.20000000000005</v>
      </c>
      <c r="L406" s="271">
        <v>648.9</v>
      </c>
      <c r="M406" s="271">
        <v>655.5</v>
      </c>
      <c r="N406" s="271">
        <v>661.1</v>
      </c>
      <c r="O406" s="271">
        <v>663.4</v>
      </c>
      <c r="P406" s="271">
        <v>638.79999999999995</v>
      </c>
      <c r="Q406" s="271">
        <v>632.29999999999995</v>
      </c>
      <c r="R406" s="271">
        <v>633.79999999999995</v>
      </c>
      <c r="S406" s="271">
        <v>634.1</v>
      </c>
      <c r="T406" s="271">
        <v>666.3</v>
      </c>
      <c r="U406" s="271">
        <v>677.3</v>
      </c>
      <c r="V406" s="271">
        <v>683.7</v>
      </c>
      <c r="W406" s="271">
        <v>692.1</v>
      </c>
      <c r="X406" s="271">
        <v>689.2</v>
      </c>
      <c r="Y406" s="271">
        <v>692.1</v>
      </c>
      <c r="Z406" s="273">
        <f ca="1">[1]ExtEntry!$J8</f>
        <v>692.1</v>
      </c>
      <c r="AB406" s="288">
        <v>44500</v>
      </c>
      <c r="AC406" s="288">
        <v>-2849.9999999995343</v>
      </c>
      <c r="AD406" s="288">
        <v>-6450</v>
      </c>
      <c r="AE406" s="288">
        <v>-53400</v>
      </c>
      <c r="AF406" s="288">
        <v>-26400.000000000466</v>
      </c>
      <c r="AG406" s="288">
        <v>18000</v>
      </c>
      <c r="AH406" s="288">
        <v>-16000</v>
      </c>
      <c r="AI406" s="288">
        <v>-399.99999999953434</v>
      </c>
      <c r="AJ406" s="288">
        <v>36700.000000000466</v>
      </c>
      <c r="AK406" s="288">
        <v>-29799.999999999534</v>
      </c>
      <c r="AL406" s="288">
        <v>48399.999999999534</v>
      </c>
      <c r="AM406" s="288">
        <v>-67500</v>
      </c>
      <c r="AN406" s="288">
        <v>1800</v>
      </c>
      <c r="AO406" s="288">
        <v>16750</v>
      </c>
      <c r="AP406" s="288">
        <v>41750</v>
      </c>
      <c r="AQ406" s="288">
        <v>3819.9999999995343</v>
      </c>
      <c r="AR406" s="288">
        <v>88460.000000000466</v>
      </c>
      <c r="AS406" s="288">
        <v>-56100</v>
      </c>
      <c r="AT406" s="288">
        <v>5989.9999999995343</v>
      </c>
      <c r="AU406" s="288">
        <v>-4210.0000000004657</v>
      </c>
      <c r="AV406" s="287">
        <f t="shared" ca="1" si="27"/>
        <v>-4210.0000000004657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78.59</v>
      </c>
      <c r="G407" s="271">
        <v>79.06</v>
      </c>
      <c r="H407" s="271">
        <v>79.775000000000006</v>
      </c>
      <c r="I407" s="271">
        <v>79.8</v>
      </c>
      <c r="J407" s="271">
        <v>79.8</v>
      </c>
      <c r="K407" s="271">
        <v>81.13</v>
      </c>
      <c r="L407" s="271">
        <v>81.52</v>
      </c>
      <c r="M407" s="271">
        <v>80.569999999999993</v>
      </c>
      <c r="N407" s="271">
        <v>80.260000000000005</v>
      </c>
      <c r="O407" s="271">
        <v>79.98</v>
      </c>
      <c r="P407" s="271">
        <v>80.09</v>
      </c>
      <c r="Q407" s="271">
        <v>80.59</v>
      </c>
      <c r="R407" s="271">
        <v>81.73</v>
      </c>
      <c r="S407" s="271">
        <v>82.19</v>
      </c>
      <c r="T407" s="271">
        <v>82.28</v>
      </c>
      <c r="U407" s="271">
        <v>81.605000000000004</v>
      </c>
      <c r="V407" s="271">
        <v>81.36</v>
      </c>
      <c r="W407" s="271">
        <v>81.12</v>
      </c>
      <c r="X407" s="271">
        <v>81.305999999999997</v>
      </c>
      <c r="Y407" s="271">
        <v>81.16</v>
      </c>
      <c r="Z407" s="273">
        <f ca="1">[1]ExtEntry!$J9</f>
        <v>81.16</v>
      </c>
      <c r="AB407" s="284">
        <v>-408.29999999998836</v>
      </c>
      <c r="AC407" s="284">
        <v>15</v>
      </c>
      <c r="AD407" s="284">
        <v>-551.10000000006403</v>
      </c>
      <c r="AE407" s="284">
        <v>-3570.0000000000291</v>
      </c>
      <c r="AF407" s="284">
        <v>-1334.9999999999709</v>
      </c>
      <c r="AG407" s="284">
        <v>-820</v>
      </c>
      <c r="AH407" s="284">
        <v>-2355.0000000000291</v>
      </c>
      <c r="AI407" s="284">
        <v>-448.89999999996508</v>
      </c>
      <c r="AJ407" s="284">
        <v>-365</v>
      </c>
      <c r="AK407" s="284">
        <v>-560</v>
      </c>
      <c r="AL407" s="284">
        <v>-10</v>
      </c>
      <c r="AM407" s="284">
        <v>1510</v>
      </c>
      <c r="AN407" s="284">
        <v>2520</v>
      </c>
      <c r="AO407" s="284">
        <v>1680</v>
      </c>
      <c r="AP407" s="284">
        <v>220</v>
      </c>
      <c r="AQ407" s="284">
        <v>520</v>
      </c>
      <c r="AR407" s="284">
        <v>565</v>
      </c>
      <c r="AS407" s="284">
        <v>-760</v>
      </c>
      <c r="AT407" s="284">
        <v>-815</v>
      </c>
      <c r="AU407" s="284">
        <v>-1160</v>
      </c>
      <c r="AV407" s="283">
        <f t="shared" ca="1" si="27"/>
        <v>-1160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1.825</v>
      </c>
      <c r="G408" s="271">
        <v>1.9</v>
      </c>
      <c r="H408" s="271">
        <v>2.02</v>
      </c>
      <c r="I408" s="271">
        <v>2.02</v>
      </c>
      <c r="J408" s="271">
        <v>2.02</v>
      </c>
      <c r="K408" s="271">
        <v>1.94</v>
      </c>
      <c r="L408" s="271">
        <v>2.0499999999999998</v>
      </c>
      <c r="M408" s="271">
        <v>2.1</v>
      </c>
      <c r="N408" s="271">
        <v>2.0594000000000001</v>
      </c>
      <c r="O408" s="271">
        <v>2.0499999999999998</v>
      </c>
      <c r="P408" s="271">
        <v>2.0299999999999998</v>
      </c>
      <c r="Q408" s="271">
        <v>1.96</v>
      </c>
      <c r="R408" s="271">
        <v>1.92</v>
      </c>
      <c r="S408" s="271">
        <v>1.95</v>
      </c>
      <c r="T408" s="271">
        <v>1.94</v>
      </c>
      <c r="U408" s="271">
        <v>2.04</v>
      </c>
      <c r="V408" s="271">
        <v>1.94</v>
      </c>
      <c r="W408" s="271">
        <v>2.0299999999999998</v>
      </c>
      <c r="X408" s="271">
        <v>2.12</v>
      </c>
      <c r="Y408" s="271">
        <v>2.08</v>
      </c>
      <c r="Z408" s="273">
        <f ca="1">[1]ExtEntry!$J10</f>
        <v>2.08</v>
      </c>
      <c r="AB408" s="288">
        <v>-1820</v>
      </c>
      <c r="AC408" s="288">
        <v>1024.3999999999942</v>
      </c>
      <c r="AD408" s="288">
        <v>-1557.3999999999942</v>
      </c>
      <c r="AE408" s="288">
        <v>130.00000000000728</v>
      </c>
      <c r="AF408" s="288">
        <v>-4679.9999999999927</v>
      </c>
      <c r="AG408" s="288">
        <v>-130</v>
      </c>
      <c r="AH408" s="288">
        <v>-891.80000000000291</v>
      </c>
      <c r="AI408" s="288">
        <v>1820</v>
      </c>
      <c r="AJ408" s="288">
        <v>910</v>
      </c>
      <c r="AK408" s="288">
        <v>2436.1999999999971</v>
      </c>
      <c r="AL408" s="288">
        <v>1430</v>
      </c>
      <c r="AM408" s="288">
        <v>-1169.9999999999927</v>
      </c>
      <c r="AN408" s="288">
        <v>127.40000000000873</v>
      </c>
      <c r="AO408" s="288">
        <v>-260.00000000000728</v>
      </c>
      <c r="AP408" s="288">
        <v>-3086.2000000000044</v>
      </c>
      <c r="AQ408" s="288">
        <v>-3510</v>
      </c>
      <c r="AR408" s="288">
        <v>-780</v>
      </c>
      <c r="AS408" s="288">
        <v>262.59999999999854</v>
      </c>
      <c r="AT408" s="288">
        <v>2210.0000000000073</v>
      </c>
      <c r="AU408" s="288">
        <v>3639.9999999999927</v>
      </c>
      <c r="AV408" s="287">
        <f t="shared" ca="1" si="27"/>
        <v>3639.9999999999927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4.5999999999999996</v>
      </c>
      <c r="G409" s="271">
        <v>3.16</v>
      </c>
      <c r="H409" s="271">
        <v>3.24</v>
      </c>
      <c r="I409" s="271">
        <v>3.08</v>
      </c>
      <c r="J409" s="271">
        <v>3.08</v>
      </c>
      <c r="K409" s="271">
        <v>3.4060999999999999</v>
      </c>
      <c r="L409" s="271">
        <v>3.51</v>
      </c>
      <c r="M409" s="271">
        <v>3.42</v>
      </c>
      <c r="N409" s="271">
        <v>3.31</v>
      </c>
      <c r="O409" s="271">
        <v>3.24</v>
      </c>
      <c r="P409" s="271">
        <v>3.22</v>
      </c>
      <c r="Q409" s="271">
        <v>3.0748000000000002</v>
      </c>
      <c r="R409" s="271">
        <v>3.22</v>
      </c>
      <c r="S409" s="271">
        <v>3.22</v>
      </c>
      <c r="T409" s="271">
        <v>2.94</v>
      </c>
      <c r="U409" s="271">
        <v>3.02</v>
      </c>
      <c r="V409" s="271">
        <v>3</v>
      </c>
      <c r="W409" s="271">
        <v>3.0350000000000001</v>
      </c>
      <c r="X409" s="271">
        <v>3.08</v>
      </c>
      <c r="Y409" s="271">
        <v>3.03</v>
      </c>
      <c r="Z409" s="273">
        <f ca="1">[1]ExtEntry!$J11</f>
        <v>3.03</v>
      </c>
      <c r="AB409" s="284">
        <v>-7778.7500000000073</v>
      </c>
      <c r="AC409" s="284">
        <v>500</v>
      </c>
      <c r="AD409" s="284">
        <v>0</v>
      </c>
      <c r="AE409" s="284">
        <v>250</v>
      </c>
      <c r="AF409" s="284">
        <v>-81.25</v>
      </c>
      <c r="AG409" s="284">
        <v>7875.0000000000073</v>
      </c>
      <c r="AH409" s="284">
        <v>-125</v>
      </c>
      <c r="AI409" s="284">
        <v>625</v>
      </c>
      <c r="AJ409" s="284">
        <v>-1125</v>
      </c>
      <c r="AK409" s="284">
        <v>1375</v>
      </c>
      <c r="AL409" s="284">
        <v>-875</v>
      </c>
      <c r="AM409" s="284">
        <v>-125</v>
      </c>
      <c r="AN409" s="284">
        <v>-4250</v>
      </c>
      <c r="AO409" s="284">
        <v>-4875</v>
      </c>
      <c r="AP409" s="284">
        <v>-1625</v>
      </c>
      <c r="AQ409" s="284">
        <v>1500</v>
      </c>
      <c r="AR409" s="284">
        <v>1875</v>
      </c>
      <c r="AS409" s="284">
        <v>3750</v>
      </c>
      <c r="AT409" s="284">
        <v>4125</v>
      </c>
      <c r="AU409" s="284">
        <v>0</v>
      </c>
      <c r="AV409" s="283">
        <f t="shared" ca="1" si="27"/>
        <v>0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95.19</v>
      </c>
      <c r="G410" s="271">
        <v>95.5</v>
      </c>
      <c r="H410" s="271">
        <v>94.25</v>
      </c>
      <c r="I410" s="271">
        <v>94.344999999999999</v>
      </c>
      <c r="J410" s="271">
        <v>94.344999999999999</v>
      </c>
      <c r="K410" s="271">
        <v>93.75</v>
      </c>
      <c r="L410" s="271">
        <v>95.45</v>
      </c>
      <c r="M410" s="271">
        <v>95.74</v>
      </c>
      <c r="N410" s="271">
        <v>97.448999999999998</v>
      </c>
      <c r="O410" s="271">
        <v>97.49</v>
      </c>
      <c r="P410" s="271">
        <v>96.984999999999999</v>
      </c>
      <c r="Q410" s="271">
        <v>95.01</v>
      </c>
      <c r="R410" s="271">
        <v>95.24</v>
      </c>
      <c r="S410" s="271">
        <v>95.24</v>
      </c>
      <c r="T410" s="271">
        <v>97.152500000000003</v>
      </c>
      <c r="U410" s="271">
        <v>95.965000000000003</v>
      </c>
      <c r="V410" s="271">
        <v>98.139899999999997</v>
      </c>
      <c r="W410" s="271">
        <v>98.38</v>
      </c>
      <c r="X410" s="271">
        <v>99.034999999999997</v>
      </c>
      <c r="Y410" s="271">
        <v>99.7</v>
      </c>
      <c r="Z410" s="273">
        <f ca="1">[1]ExtEntry!$J12</f>
        <v>99.7</v>
      </c>
      <c r="AB410" s="288">
        <v>-15</v>
      </c>
      <c r="AC410" s="288">
        <v>-137</v>
      </c>
      <c r="AD410" s="288">
        <v>40.5</v>
      </c>
      <c r="AE410" s="288">
        <v>-292.5</v>
      </c>
      <c r="AF410" s="288">
        <v>45</v>
      </c>
      <c r="AG410" s="288">
        <v>-23</v>
      </c>
      <c r="AH410" s="288">
        <v>101.5</v>
      </c>
      <c r="AI410" s="288">
        <v>55.5</v>
      </c>
      <c r="AJ410" s="288">
        <v>219.5</v>
      </c>
      <c r="AK410" s="288">
        <v>8.5</v>
      </c>
      <c r="AL410" s="288">
        <v>31.5</v>
      </c>
      <c r="AM410" s="288">
        <v>-108</v>
      </c>
      <c r="AN410" s="288">
        <v>25.5</v>
      </c>
      <c r="AO410" s="288">
        <v>-91</v>
      </c>
      <c r="AP410" s="288">
        <v>214</v>
      </c>
      <c r="AQ410" s="288">
        <v>13</v>
      </c>
      <c r="AR410" s="288">
        <v>316.5</v>
      </c>
      <c r="AS410" s="288">
        <v>-0.57499999999998863</v>
      </c>
      <c r="AT410" s="288">
        <v>-6.6500000000000341</v>
      </c>
      <c r="AU410" s="288">
        <v>-174.49999999999994</v>
      </c>
      <c r="AV410" s="287">
        <f t="shared" ca="1" si="27"/>
        <v>-174.49999999999994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70.61</v>
      </c>
      <c r="G411" s="271">
        <v>68.650000000000006</v>
      </c>
      <c r="H411" s="271">
        <v>66.849999999999994</v>
      </c>
      <c r="I411" s="271">
        <v>67.52</v>
      </c>
      <c r="J411" s="271">
        <v>67.52</v>
      </c>
      <c r="K411" s="271">
        <v>67.185000000000002</v>
      </c>
      <c r="L411" s="271">
        <v>67.495000000000005</v>
      </c>
      <c r="M411" s="271">
        <v>68.75</v>
      </c>
      <c r="N411" s="271">
        <v>68.745000000000005</v>
      </c>
      <c r="O411" s="271">
        <v>69.055000000000007</v>
      </c>
      <c r="P411" s="271">
        <v>69.459999999999994</v>
      </c>
      <c r="Q411" s="271">
        <v>68.254999999999995</v>
      </c>
      <c r="R411" s="271">
        <v>68.13</v>
      </c>
      <c r="S411" s="271">
        <v>68.13</v>
      </c>
      <c r="T411" s="271">
        <v>68.41</v>
      </c>
      <c r="U411" s="271">
        <v>67.004999999999995</v>
      </c>
      <c r="V411" s="271">
        <v>67.435000000000002</v>
      </c>
      <c r="W411" s="271">
        <v>68.319999999999993</v>
      </c>
      <c r="X411" s="271">
        <v>68.569900000000004</v>
      </c>
      <c r="Y411" s="271">
        <v>67.34</v>
      </c>
      <c r="Z411" s="273">
        <f ca="1">[1]ExtEntry!$J13</f>
        <v>67.34</v>
      </c>
      <c r="AB411" s="284">
        <v>1887.4000000000087</v>
      </c>
      <c r="AC411" s="284">
        <v>-1749</v>
      </c>
      <c r="AD411" s="284">
        <v>270</v>
      </c>
      <c r="AE411" s="284">
        <v>-432.20000000001164</v>
      </c>
      <c r="AF411" s="284">
        <v>1380.1999999999971</v>
      </c>
      <c r="AG411" s="284">
        <v>-1195</v>
      </c>
      <c r="AH411" s="284">
        <v>1419</v>
      </c>
      <c r="AI411" s="284">
        <v>765</v>
      </c>
      <c r="AJ411" s="284">
        <v>-57.799999999988358</v>
      </c>
      <c r="AK411" s="284">
        <v>157.20000000001164</v>
      </c>
      <c r="AL411" s="284">
        <v>-310</v>
      </c>
      <c r="AM411" s="284">
        <v>-120</v>
      </c>
      <c r="AN411" s="284">
        <v>-395</v>
      </c>
      <c r="AO411" s="284">
        <v>-1600</v>
      </c>
      <c r="AP411" s="284">
        <v>-445</v>
      </c>
      <c r="AQ411" s="284">
        <v>180</v>
      </c>
      <c r="AR411" s="284">
        <v>860</v>
      </c>
      <c r="AS411" s="284">
        <v>1076</v>
      </c>
      <c r="AT411" s="284">
        <v>-100</v>
      </c>
      <c r="AU411" s="284">
        <v>-240</v>
      </c>
      <c r="AV411" s="283">
        <f t="shared" ca="1" si="27"/>
        <v>-240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67.16</v>
      </c>
      <c r="G412" s="271">
        <v>68.67</v>
      </c>
      <c r="H412" s="271">
        <v>70.944999999999993</v>
      </c>
      <c r="I412" s="271">
        <v>71.075000000000003</v>
      </c>
      <c r="J412" s="271">
        <v>71.075000000000003</v>
      </c>
      <c r="K412" s="271">
        <v>71.36</v>
      </c>
      <c r="L412" s="271">
        <v>71.64</v>
      </c>
      <c r="M412" s="271">
        <v>71.789900000000003</v>
      </c>
      <c r="N412" s="271">
        <v>72.09</v>
      </c>
      <c r="O412" s="271">
        <v>71.930000000000007</v>
      </c>
      <c r="P412" s="271">
        <v>73.23</v>
      </c>
      <c r="Q412" s="271">
        <v>74.53</v>
      </c>
      <c r="R412" s="271">
        <v>74.452699999999993</v>
      </c>
      <c r="S412" s="271">
        <v>74.452699999999993</v>
      </c>
      <c r="T412" s="271">
        <v>73.905000000000001</v>
      </c>
      <c r="U412" s="271">
        <v>73.994299999999996</v>
      </c>
      <c r="V412" s="271">
        <v>73.046700000000001</v>
      </c>
      <c r="W412" s="271">
        <v>74</v>
      </c>
      <c r="X412" s="271">
        <v>74.995000000000005</v>
      </c>
      <c r="Y412" s="271">
        <v>75.55</v>
      </c>
      <c r="Z412" s="273">
        <f ca="1">[1]ExtEntry!$J14</f>
        <v>75.55</v>
      </c>
      <c r="AB412" s="288">
        <v>21.25</v>
      </c>
      <c r="AC412" s="288">
        <v>118.75</v>
      </c>
      <c r="AD412" s="288">
        <v>118.75</v>
      </c>
      <c r="AE412" s="288">
        <v>20.000000000003638</v>
      </c>
      <c r="AF412" s="288">
        <v>191.25</v>
      </c>
      <c r="AG412" s="288">
        <v>-10</v>
      </c>
      <c r="AH412" s="288">
        <v>-153.75</v>
      </c>
      <c r="AI412" s="288">
        <v>-45</v>
      </c>
      <c r="AJ412" s="288">
        <v>-132.5</v>
      </c>
      <c r="AK412" s="288">
        <v>-247.5</v>
      </c>
      <c r="AL412" s="288">
        <v>275</v>
      </c>
      <c r="AM412" s="288">
        <v>311.25</v>
      </c>
      <c r="AN412" s="288">
        <v>-125</v>
      </c>
      <c r="AO412" s="288">
        <v>-267.5</v>
      </c>
      <c r="AP412" s="288">
        <v>112.5</v>
      </c>
      <c r="AQ412" s="288">
        <v>-1120</v>
      </c>
      <c r="AR412" s="288">
        <v>-232.5</v>
      </c>
      <c r="AS412" s="288">
        <v>636.25</v>
      </c>
      <c r="AT412" s="288">
        <v>316.25</v>
      </c>
      <c r="AU412" s="288">
        <v>75</v>
      </c>
      <c r="AV412" s="287">
        <f t="shared" ca="1" si="27"/>
        <v>75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2.2732000000000001</v>
      </c>
      <c r="G413" s="271">
        <v>2.1549999999999998</v>
      </c>
      <c r="H413" s="271">
        <v>2.0499999999999998</v>
      </c>
      <c r="I413" s="271">
        <v>2.12</v>
      </c>
      <c r="J413" s="271">
        <v>2.12</v>
      </c>
      <c r="K413" s="271">
        <v>1.99</v>
      </c>
      <c r="L413" s="271">
        <v>2.2050000000000001</v>
      </c>
      <c r="M413" s="271">
        <v>2.2599999999999998</v>
      </c>
      <c r="N413" s="271">
        <v>2.6949999999999998</v>
      </c>
      <c r="O413" s="271">
        <v>2.57</v>
      </c>
      <c r="P413" s="271">
        <v>2.4300000000000002</v>
      </c>
      <c r="Q413" s="271">
        <v>2.2991000000000001</v>
      </c>
      <c r="R413" s="271">
        <v>2.1800000000000002</v>
      </c>
      <c r="S413" s="271">
        <v>2.1800000000000002</v>
      </c>
      <c r="T413" s="271">
        <v>2.09</v>
      </c>
      <c r="U413" s="271">
        <v>2.17</v>
      </c>
      <c r="V413" s="271">
        <v>2.17</v>
      </c>
      <c r="W413" s="271">
        <v>2.2000000000000002</v>
      </c>
      <c r="X413" s="271">
        <v>2.36</v>
      </c>
      <c r="Y413" s="271">
        <v>2.3199999999999998</v>
      </c>
      <c r="Z413" s="273">
        <f ca="1">[1]ExtEntry!$J15</f>
        <v>2.3199999999999998</v>
      </c>
      <c r="AB413" s="284">
        <v>-19000</v>
      </c>
      <c r="AC413" s="284">
        <v>-1990</v>
      </c>
      <c r="AD413" s="284">
        <v>-1500.0000000000291</v>
      </c>
      <c r="AE413" s="284">
        <v>-47999.999999999971</v>
      </c>
      <c r="AF413" s="284">
        <v>6000.0000000000582</v>
      </c>
      <c r="AG413" s="284">
        <v>22000</v>
      </c>
      <c r="AH413" s="284">
        <v>11489.999999999971</v>
      </c>
      <c r="AI413" s="284">
        <v>-1000</v>
      </c>
      <c r="AJ413" s="284">
        <v>41999.999999999971</v>
      </c>
      <c r="AK413" s="284">
        <v>-4080</v>
      </c>
      <c r="AL413" s="284">
        <v>-14000.000000000029</v>
      </c>
      <c r="AM413" s="284">
        <v>-13999.999999999942</v>
      </c>
      <c r="AN413" s="284">
        <v>-13470</v>
      </c>
      <c r="AO413" s="284">
        <v>-9500.0000000000291</v>
      </c>
      <c r="AP413" s="284">
        <v>12579.999999999971</v>
      </c>
      <c r="AQ413" s="284">
        <v>15000.000000000029</v>
      </c>
      <c r="AR413" s="284">
        <v>499.9999999999709</v>
      </c>
      <c r="AS413" s="284">
        <v>4970.0000000000291</v>
      </c>
      <c r="AT413" s="284">
        <v>26500.000000000029</v>
      </c>
      <c r="AU413" s="284">
        <v>-4500</v>
      </c>
      <c r="AV413" s="283">
        <f t="shared" ca="1" si="27"/>
        <v>-4500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116.23</v>
      </c>
      <c r="G414" s="271">
        <v>116.84</v>
      </c>
      <c r="H414" s="271">
        <v>117.005</v>
      </c>
      <c r="I414" s="271">
        <v>116.98</v>
      </c>
      <c r="J414" s="271">
        <v>116.98</v>
      </c>
      <c r="K414" s="271">
        <v>117.89</v>
      </c>
      <c r="L414" s="271">
        <v>119.05</v>
      </c>
      <c r="M414" s="271">
        <v>118.375</v>
      </c>
      <c r="N414" s="271">
        <v>118.46</v>
      </c>
      <c r="O414" s="271">
        <v>118.37</v>
      </c>
      <c r="P414" s="271">
        <v>118.645</v>
      </c>
      <c r="Q414" s="271">
        <v>117.55</v>
      </c>
      <c r="R414" s="271">
        <v>118.62</v>
      </c>
      <c r="S414" s="271">
        <v>118.62</v>
      </c>
      <c r="T414" s="271">
        <v>119.675</v>
      </c>
      <c r="U414" s="271">
        <v>118.88</v>
      </c>
      <c r="V414" s="271">
        <v>119.05</v>
      </c>
      <c r="W414" s="271">
        <v>117.51</v>
      </c>
      <c r="X414" s="271">
        <v>117.16</v>
      </c>
      <c r="Y414" s="271">
        <v>117.01</v>
      </c>
      <c r="Z414" s="273">
        <f ca="1">[1]ExtEntry!$J16</f>
        <v>117.01</v>
      </c>
      <c r="AB414" s="288">
        <v>318.23999999999796</v>
      </c>
      <c r="AC414" s="288">
        <v>-135</v>
      </c>
      <c r="AD414" s="288">
        <v>95</v>
      </c>
      <c r="AE414" s="288">
        <v>-171</v>
      </c>
      <c r="AF414" s="288">
        <v>-393</v>
      </c>
      <c r="AG414" s="288">
        <v>58</v>
      </c>
      <c r="AH414" s="288">
        <v>-133</v>
      </c>
      <c r="AI414" s="288">
        <v>-169</v>
      </c>
      <c r="AJ414" s="288">
        <v>193</v>
      </c>
      <c r="AK414" s="288">
        <v>-153</v>
      </c>
      <c r="AL414" s="288">
        <v>1</v>
      </c>
      <c r="AM414" s="288">
        <v>91</v>
      </c>
      <c r="AN414" s="288">
        <v>-68</v>
      </c>
      <c r="AO414" s="288">
        <v>-134</v>
      </c>
      <c r="AP414" s="288">
        <v>584</v>
      </c>
      <c r="AQ414" s="288">
        <v>-22</v>
      </c>
      <c r="AR414" s="288">
        <v>-174</v>
      </c>
      <c r="AS414" s="288">
        <v>-812</v>
      </c>
      <c r="AT414" s="288">
        <v>1405</v>
      </c>
      <c r="AU414" s="288">
        <v>-636</v>
      </c>
      <c r="AV414" s="287">
        <f t="shared" ca="1" si="27"/>
        <v>-636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26.87</v>
      </c>
      <c r="G415" s="271">
        <v>27.09</v>
      </c>
      <c r="H415" s="271">
        <v>27</v>
      </c>
      <c r="I415" s="271">
        <v>27.21</v>
      </c>
      <c r="J415" s="271">
        <v>27.21</v>
      </c>
      <c r="K415" s="271">
        <v>27.34</v>
      </c>
      <c r="L415" s="271">
        <v>27.16</v>
      </c>
      <c r="M415" s="271">
        <v>26.74</v>
      </c>
      <c r="N415" s="271">
        <v>26.86</v>
      </c>
      <c r="O415" s="271">
        <v>27.13</v>
      </c>
      <c r="P415" s="271">
        <v>26.84</v>
      </c>
      <c r="Q415" s="271">
        <v>26.66</v>
      </c>
      <c r="R415" s="271">
        <v>26.67</v>
      </c>
      <c r="S415" s="271">
        <v>26.65</v>
      </c>
      <c r="T415" s="271">
        <v>26.97</v>
      </c>
      <c r="U415" s="271">
        <v>27.39</v>
      </c>
      <c r="V415" s="271">
        <v>28.22</v>
      </c>
      <c r="W415" s="271">
        <v>28.1</v>
      </c>
      <c r="X415" s="271">
        <v>27.71</v>
      </c>
      <c r="Y415" s="271">
        <v>27.76</v>
      </c>
      <c r="Z415" s="273">
        <f ca="1">[1]ExtEntry!$J17</f>
        <v>27.76</v>
      </c>
      <c r="AB415" s="284">
        <v>2100</v>
      </c>
      <c r="AC415" s="284">
        <v>1860</v>
      </c>
      <c r="AD415" s="284">
        <v>-1560</v>
      </c>
      <c r="AE415" s="284">
        <v>4020</v>
      </c>
      <c r="AF415" s="284">
        <v>580</v>
      </c>
      <c r="AG415" s="284">
        <v>3600</v>
      </c>
      <c r="AH415" s="284">
        <v>-4200</v>
      </c>
      <c r="AI415" s="284">
        <v>-60</v>
      </c>
      <c r="AJ415" s="284">
        <v>1380</v>
      </c>
      <c r="AK415" s="284">
        <v>-480</v>
      </c>
      <c r="AL415" s="284">
        <v>-2340</v>
      </c>
      <c r="AM415" s="284">
        <v>1140</v>
      </c>
      <c r="AN415" s="284">
        <v>2460</v>
      </c>
      <c r="AO415" s="284">
        <v>1620</v>
      </c>
      <c r="AP415" s="284">
        <v>-660</v>
      </c>
      <c r="AQ415" s="284">
        <v>2340</v>
      </c>
      <c r="AR415" s="284">
        <v>3420</v>
      </c>
      <c r="AS415" s="284">
        <v>-2760</v>
      </c>
      <c r="AT415" s="284">
        <v>-360</v>
      </c>
      <c r="AU415" s="284">
        <v>780</v>
      </c>
      <c r="AV415" s="283">
        <f t="shared" ca="1" si="27"/>
        <v>780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134.27000000000001</v>
      </c>
      <c r="G416" s="271">
        <v>136.04</v>
      </c>
      <c r="H416" s="271">
        <v>136.9999</v>
      </c>
      <c r="I416" s="271">
        <v>137.37</v>
      </c>
      <c r="J416" s="271">
        <v>137.37</v>
      </c>
      <c r="K416" s="271">
        <v>138.31</v>
      </c>
      <c r="L416" s="271">
        <v>141</v>
      </c>
      <c r="M416" s="271">
        <v>138.97</v>
      </c>
      <c r="N416" s="271">
        <v>139.65</v>
      </c>
      <c r="O416" s="271">
        <v>138.08000000000001</v>
      </c>
      <c r="P416" s="271">
        <v>137.77000000000001</v>
      </c>
      <c r="Q416" s="271">
        <v>136.5</v>
      </c>
      <c r="R416" s="271">
        <v>137.22999999999999</v>
      </c>
      <c r="S416" s="271">
        <v>137.29</v>
      </c>
      <c r="T416" s="271">
        <v>137.06</v>
      </c>
      <c r="U416" s="271">
        <v>136.99</v>
      </c>
      <c r="V416" s="271">
        <v>137.58000000000001</v>
      </c>
      <c r="W416" s="271">
        <v>136.39500000000001</v>
      </c>
      <c r="X416" s="271">
        <v>134.47999999999999</v>
      </c>
      <c r="Y416" s="271">
        <v>133.94</v>
      </c>
      <c r="Z416" s="273">
        <f ca="1">[1]ExtEntry!$J18</f>
        <v>133.94</v>
      </c>
      <c r="AB416" s="288">
        <v>805</v>
      </c>
      <c r="AC416" s="288">
        <v>485</v>
      </c>
      <c r="AD416" s="288">
        <v>375</v>
      </c>
      <c r="AE416" s="288">
        <v>-994.99999999998545</v>
      </c>
      <c r="AF416" s="288">
        <v>285</v>
      </c>
      <c r="AG416" s="288">
        <v>1035</v>
      </c>
      <c r="AH416" s="288">
        <v>-2840</v>
      </c>
      <c r="AI416" s="288">
        <v>1050</v>
      </c>
      <c r="AJ416" s="288">
        <v>-3520</v>
      </c>
      <c r="AK416" s="288">
        <v>-5230.1000000000058</v>
      </c>
      <c r="AL416" s="288">
        <v>1400</v>
      </c>
      <c r="AM416" s="288">
        <v>2410</v>
      </c>
      <c r="AN416" s="288">
        <v>2545</v>
      </c>
      <c r="AO416" s="288">
        <v>-2030</v>
      </c>
      <c r="AP416" s="288">
        <v>2500.1000000000058</v>
      </c>
      <c r="AQ416" s="288">
        <v>-4150</v>
      </c>
      <c r="AR416" s="288">
        <v>2220</v>
      </c>
      <c r="AS416" s="288">
        <v>-3655</v>
      </c>
      <c r="AT416" s="288">
        <v>1025</v>
      </c>
      <c r="AU416" s="288">
        <v>670</v>
      </c>
      <c r="AV416" s="287">
        <f t="shared" ca="1" si="27"/>
        <v>670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13.86</v>
      </c>
      <c r="G417" s="271">
        <v>14.06</v>
      </c>
      <c r="H417" s="271">
        <v>13.87</v>
      </c>
      <c r="I417" s="271">
        <v>14.26</v>
      </c>
      <c r="J417" s="271">
        <v>14.26</v>
      </c>
      <c r="K417" s="271">
        <v>14.01</v>
      </c>
      <c r="L417" s="271">
        <v>14.25</v>
      </c>
      <c r="M417" s="271">
        <v>14.2</v>
      </c>
      <c r="N417" s="271">
        <v>14.435</v>
      </c>
      <c r="O417" s="271">
        <v>14.37</v>
      </c>
      <c r="P417" s="271">
        <v>14.615</v>
      </c>
      <c r="Q417" s="271">
        <v>14.43</v>
      </c>
      <c r="R417" s="271">
        <v>14.484999999999999</v>
      </c>
      <c r="S417" s="271">
        <v>14.5</v>
      </c>
      <c r="T417" s="271">
        <v>14.61</v>
      </c>
      <c r="U417" s="271">
        <v>14.74</v>
      </c>
      <c r="V417" s="271">
        <v>14.73</v>
      </c>
      <c r="W417" s="271">
        <v>14.49</v>
      </c>
      <c r="X417" s="271">
        <v>14.57</v>
      </c>
      <c r="Y417" s="271">
        <v>14.54</v>
      </c>
      <c r="Z417" s="273">
        <f ca="1">[1]ExtEntry!$J19</f>
        <v>14.54</v>
      </c>
      <c r="AB417" s="284">
        <v>2040</v>
      </c>
      <c r="AC417" s="284">
        <v>4740</v>
      </c>
      <c r="AD417" s="284">
        <v>5220</v>
      </c>
      <c r="AE417" s="284">
        <v>-2400</v>
      </c>
      <c r="AF417" s="284">
        <v>-2730</v>
      </c>
      <c r="AG417" s="284">
        <v>-150</v>
      </c>
      <c r="AH417" s="284">
        <v>-1392</v>
      </c>
      <c r="AI417" s="284">
        <v>-630</v>
      </c>
      <c r="AJ417" s="284">
        <v>1050</v>
      </c>
      <c r="AK417" s="284">
        <v>-988.20000000001164</v>
      </c>
      <c r="AL417" s="284">
        <v>2520</v>
      </c>
      <c r="AM417" s="284">
        <v>522</v>
      </c>
      <c r="AN417" s="284">
        <v>312</v>
      </c>
      <c r="AO417" s="284">
        <v>420</v>
      </c>
      <c r="AP417" s="284">
        <v>1798.2000000000116</v>
      </c>
      <c r="AQ417" s="284">
        <v>-2160</v>
      </c>
      <c r="AR417" s="284">
        <v>-1080</v>
      </c>
      <c r="AS417" s="284">
        <v>-750</v>
      </c>
      <c r="AT417" s="284">
        <v>750</v>
      </c>
      <c r="AU417" s="284">
        <v>-3000</v>
      </c>
      <c r="AV417" s="283">
        <f t="shared" ca="1" si="27"/>
        <v>-3000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16.085000000000001</v>
      </c>
      <c r="G418" s="271">
        <v>16.03</v>
      </c>
      <c r="H418" s="271">
        <v>15.965</v>
      </c>
      <c r="I418" s="271">
        <v>15.865</v>
      </c>
      <c r="J418" s="271">
        <v>15.865</v>
      </c>
      <c r="K418" s="271">
        <v>15.805</v>
      </c>
      <c r="L418" s="271">
        <v>15.425000000000001</v>
      </c>
      <c r="M418" s="271">
        <v>15.64</v>
      </c>
      <c r="N418" s="271">
        <v>15.72</v>
      </c>
      <c r="O418" s="271">
        <v>15.75</v>
      </c>
      <c r="P418" s="271">
        <v>15.29</v>
      </c>
      <c r="Q418" s="271">
        <v>15.04</v>
      </c>
      <c r="R418" s="271">
        <v>14.744999999999999</v>
      </c>
      <c r="S418" s="271">
        <v>15.11</v>
      </c>
      <c r="T418" s="271">
        <v>15.045</v>
      </c>
      <c r="U418" s="271">
        <v>15.4</v>
      </c>
      <c r="V418" s="271">
        <v>15.465</v>
      </c>
      <c r="W418" s="271">
        <v>15.4</v>
      </c>
      <c r="X418" s="271">
        <v>15.435</v>
      </c>
      <c r="Y418" s="271">
        <v>15.6</v>
      </c>
      <c r="Z418" s="273">
        <f ca="1">[1]ExtEntry!$J20</f>
        <v>15.6</v>
      </c>
      <c r="AB418" s="288">
        <v>-700</v>
      </c>
      <c r="AC418" s="288">
        <v>-4500.0000000000146</v>
      </c>
      <c r="AD418" s="288">
        <v>-4500</v>
      </c>
      <c r="AE418" s="288">
        <v>1300</v>
      </c>
      <c r="AF418" s="288">
        <v>-3450</v>
      </c>
      <c r="AG418" s="288">
        <v>-675</v>
      </c>
      <c r="AH418" s="288">
        <v>1000.0000000000146</v>
      </c>
      <c r="AI418" s="288">
        <v>925</v>
      </c>
      <c r="AJ418" s="288">
        <v>650</v>
      </c>
      <c r="AK418" s="288">
        <v>-550</v>
      </c>
      <c r="AL418" s="288">
        <v>-25</v>
      </c>
      <c r="AM418" s="288">
        <v>-3450</v>
      </c>
      <c r="AN418" s="288">
        <v>-800</v>
      </c>
      <c r="AO418" s="288">
        <v>1625</v>
      </c>
      <c r="AP418" s="288">
        <v>2350</v>
      </c>
      <c r="AQ418" s="288">
        <v>1850</v>
      </c>
      <c r="AR418" s="288">
        <v>2850</v>
      </c>
      <c r="AS418" s="288">
        <v>1400</v>
      </c>
      <c r="AT418" s="288">
        <v>-2200</v>
      </c>
      <c r="AU418" s="288">
        <v>-206.25</v>
      </c>
      <c r="AV418" s="287">
        <f t="shared" ca="1" si="27"/>
        <v>-206.25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1.93</v>
      </c>
      <c r="L419" s="271">
        <v>0.82499999999999996</v>
      </c>
      <c r="M419" s="271">
        <v>0.2797</v>
      </c>
      <c r="N419" s="271">
        <v>0.25</v>
      </c>
      <c r="O419" s="271">
        <v>0.24</v>
      </c>
      <c r="P419" s="271">
        <v>0.25769999999999998</v>
      </c>
      <c r="Q419" s="271">
        <v>0.24990000000000001</v>
      </c>
      <c r="R419" s="271">
        <v>0.23599999999999999</v>
      </c>
      <c r="S419" s="271">
        <v>0.24160000000000001</v>
      </c>
      <c r="T419" s="271">
        <v>0.23799999999999999</v>
      </c>
      <c r="U419" s="271">
        <v>0.2399</v>
      </c>
      <c r="V419" s="271">
        <v>0.245</v>
      </c>
      <c r="W419" s="271">
        <v>0.23499999999999999</v>
      </c>
      <c r="X419" s="271">
        <v>0.2107</v>
      </c>
      <c r="Y419" s="271">
        <v>0.21099999999999999</v>
      </c>
      <c r="Z419" s="273">
        <f ca="1">[1]ExtEntry!$J21</f>
        <v>0.21099999999999999</v>
      </c>
      <c r="AB419" s="284">
        <v>-300</v>
      </c>
      <c r="AC419" s="284">
        <v>-159</v>
      </c>
      <c r="AD419" s="284">
        <v>-150</v>
      </c>
      <c r="AE419" s="284">
        <v>0</v>
      </c>
      <c r="AF419" s="284">
        <v>150</v>
      </c>
      <c r="AG419" s="284">
        <v>600</v>
      </c>
      <c r="AH419" s="284">
        <v>1353</v>
      </c>
      <c r="AI419" s="284">
        <v>45</v>
      </c>
      <c r="AJ419" s="284">
        <v>-372</v>
      </c>
      <c r="AK419" s="284">
        <v>-69</v>
      </c>
      <c r="AL419" s="284">
        <v>15</v>
      </c>
      <c r="AM419" s="284">
        <v>-1191</v>
      </c>
      <c r="AN419" s="284">
        <v>-1107</v>
      </c>
      <c r="AO419" s="284">
        <v>237</v>
      </c>
      <c r="AP419" s="284">
        <v>-195</v>
      </c>
      <c r="AQ419" s="284">
        <v>-195</v>
      </c>
      <c r="AR419" s="284">
        <v>216</v>
      </c>
      <c r="AS419" s="284">
        <v>-987</v>
      </c>
      <c r="AT419" s="284">
        <v>-303</v>
      </c>
      <c r="AU419" s="284">
        <v>-279</v>
      </c>
      <c r="AV419" s="283">
        <f t="shared" ca="1" si="27"/>
        <v>-279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56.05</v>
      </c>
      <c r="G420" s="271">
        <v>56.95</v>
      </c>
      <c r="H420" s="271">
        <v>56.55</v>
      </c>
      <c r="I420" s="271">
        <v>57.41</v>
      </c>
      <c r="J420" s="271">
        <v>57.41</v>
      </c>
      <c r="K420" s="271">
        <v>57.189900000000002</v>
      </c>
      <c r="L420" s="271">
        <v>58.42</v>
      </c>
      <c r="M420" s="271">
        <v>58.935000000000002</v>
      </c>
      <c r="N420" s="271">
        <v>59.23</v>
      </c>
      <c r="O420" s="271">
        <v>59</v>
      </c>
      <c r="P420" s="271">
        <v>58.67</v>
      </c>
      <c r="Q420" s="271">
        <v>58.332500000000003</v>
      </c>
      <c r="R420" s="271">
        <v>58.85</v>
      </c>
      <c r="S420" s="271">
        <v>58.85</v>
      </c>
      <c r="T420" s="271">
        <v>58.24</v>
      </c>
      <c r="U420" s="271">
        <v>58.255000000000003</v>
      </c>
      <c r="V420" s="271">
        <v>58.155000000000001</v>
      </c>
      <c r="W420" s="271">
        <v>57.88</v>
      </c>
      <c r="X420" s="271">
        <v>58.69</v>
      </c>
      <c r="Y420" s="271">
        <v>60</v>
      </c>
      <c r="Z420" s="273">
        <f ca="1">[1]ExtEntry!$J22</f>
        <v>60</v>
      </c>
      <c r="AB420" s="288">
        <v>-2.3500000000001364</v>
      </c>
      <c r="AC420" s="288">
        <v>-2.6000000000000227</v>
      </c>
      <c r="AD420" s="288">
        <v>3.22300000000007</v>
      </c>
      <c r="AE420" s="288">
        <v>5.3500000000001364</v>
      </c>
      <c r="AF420" s="288">
        <v>-6.1499999999999773</v>
      </c>
      <c r="AG420" s="288">
        <v>-0.19999999999993179</v>
      </c>
      <c r="AH420" s="288">
        <v>4.9500000000000455</v>
      </c>
      <c r="AI420" s="288">
        <v>3.9769999999999754</v>
      </c>
      <c r="AJ420" s="288">
        <v>-2.5000000000001137</v>
      </c>
      <c r="AK420" s="288">
        <v>-14.000000000000114</v>
      </c>
      <c r="AL420" s="288">
        <v>2.1000000000001364</v>
      </c>
      <c r="AM420" s="288">
        <v>4.4499999999999318</v>
      </c>
      <c r="AN420" s="288">
        <v>-1.7499999999998863</v>
      </c>
      <c r="AO420" s="288">
        <v>-9.2999999999999545</v>
      </c>
      <c r="AP420" s="288">
        <v>11.200000000000045</v>
      </c>
      <c r="AQ420" s="288">
        <v>-2.2737367544323206E-13</v>
      </c>
      <c r="AR420" s="288">
        <v>-6.3999999999998636</v>
      </c>
      <c r="AS420" s="288">
        <v>-4.3500000000001364</v>
      </c>
      <c r="AT420" s="288">
        <v>15.199999999999932</v>
      </c>
      <c r="AU420" s="288">
        <v>-14.949999999999932</v>
      </c>
      <c r="AV420" s="287">
        <f t="shared" ca="1" si="27"/>
        <v>-14.949999999999932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21.48</v>
      </c>
      <c r="G421" s="271">
        <v>21.38</v>
      </c>
      <c r="H421" s="271">
        <v>21.42</v>
      </c>
      <c r="I421" s="271">
        <v>21.68</v>
      </c>
      <c r="J421" s="271">
        <v>21.68</v>
      </c>
      <c r="K421" s="271">
        <v>21.62</v>
      </c>
      <c r="L421" s="271">
        <v>22.67</v>
      </c>
      <c r="M421" s="271">
        <v>22.745000000000001</v>
      </c>
      <c r="N421" s="271">
        <v>22.87</v>
      </c>
      <c r="O421" s="271">
        <v>23.31</v>
      </c>
      <c r="P421" s="271">
        <v>22.864999999999998</v>
      </c>
      <c r="Q421" s="271">
        <v>22.515000000000001</v>
      </c>
      <c r="R421" s="271">
        <v>23.04</v>
      </c>
      <c r="S421" s="271">
        <v>23.04</v>
      </c>
      <c r="T421" s="271">
        <v>24.175000000000001</v>
      </c>
      <c r="U421" s="271">
        <v>23.774999999999999</v>
      </c>
      <c r="V421" s="271">
        <v>23.98</v>
      </c>
      <c r="W421" s="271">
        <v>24.679300000000001</v>
      </c>
      <c r="X421" s="271">
        <v>24.96</v>
      </c>
      <c r="Y421" s="271">
        <v>25.1</v>
      </c>
      <c r="Z421" s="273">
        <f ca="1">[1]ExtEntry!$J23</f>
        <v>25.1</v>
      </c>
      <c r="AB421" s="284">
        <v>5812.5</v>
      </c>
      <c r="AC421" s="284">
        <v>-852.5</v>
      </c>
      <c r="AD421" s="284">
        <v>4882.5</v>
      </c>
      <c r="AE421" s="284">
        <v>-7595</v>
      </c>
      <c r="AF421" s="284">
        <v>-1085</v>
      </c>
      <c r="AG421" s="284">
        <v>-7905</v>
      </c>
      <c r="AH421" s="284">
        <v>3177.5</v>
      </c>
      <c r="AI421" s="284">
        <v>-4495</v>
      </c>
      <c r="AJ421" s="284">
        <v>7207.5</v>
      </c>
      <c r="AK421" s="284">
        <v>6040</v>
      </c>
      <c r="AL421" s="284">
        <v>5362.5</v>
      </c>
      <c r="AM421" s="284">
        <v>2660</v>
      </c>
      <c r="AN421" s="284">
        <v>-4240</v>
      </c>
      <c r="AO421" s="284">
        <v>-982.5</v>
      </c>
      <c r="AP421" s="284">
        <v>-13680</v>
      </c>
      <c r="AQ421" s="284">
        <v>2100</v>
      </c>
      <c r="AR421" s="284">
        <v>1680</v>
      </c>
      <c r="AS421" s="284">
        <v>8160</v>
      </c>
      <c r="AT421" s="284">
        <v>5160</v>
      </c>
      <c r="AU421" s="284">
        <v>7440</v>
      </c>
      <c r="AV421" s="283">
        <f t="shared" ca="1" si="27"/>
        <v>7440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26.885000000000002</v>
      </c>
      <c r="G422" s="271">
        <v>27.157299999999999</v>
      </c>
      <c r="H422" s="271">
        <v>26.96</v>
      </c>
      <c r="I422" s="271">
        <v>27.36</v>
      </c>
      <c r="J422" s="271">
        <v>27.36</v>
      </c>
      <c r="K422" s="271">
        <v>26.9</v>
      </c>
      <c r="L422" s="271">
        <v>27.785</v>
      </c>
      <c r="M422" s="271">
        <v>27.52</v>
      </c>
      <c r="N422" s="271">
        <v>27.26</v>
      </c>
      <c r="O422" s="271">
        <v>28.9</v>
      </c>
      <c r="P422" s="271">
        <v>28.745000000000001</v>
      </c>
      <c r="Q422" s="271">
        <v>28.34</v>
      </c>
      <c r="R422" s="271">
        <v>29.2</v>
      </c>
      <c r="S422" s="271">
        <v>29.2</v>
      </c>
      <c r="T422" s="271">
        <v>28.96</v>
      </c>
      <c r="U422" s="271">
        <v>29.39</v>
      </c>
      <c r="V422" s="271">
        <v>29.55</v>
      </c>
      <c r="W422" s="271">
        <v>28.57</v>
      </c>
      <c r="X422" s="271">
        <v>28.8</v>
      </c>
      <c r="Y422" s="271">
        <v>28.484999999999999</v>
      </c>
      <c r="Z422" s="273">
        <f ca="1">[1]ExtEntry!$J24</f>
        <v>28.484999999999999</v>
      </c>
      <c r="AB422" s="288">
        <v>1250</v>
      </c>
      <c r="AC422" s="288">
        <v>-2175</v>
      </c>
      <c r="AD422" s="288">
        <v>150</v>
      </c>
      <c r="AE422" s="288">
        <v>-3879.9999999999854</v>
      </c>
      <c r="AF422" s="288">
        <v>-1555</v>
      </c>
      <c r="AG422" s="288">
        <v>-855</v>
      </c>
      <c r="AH422" s="288">
        <v>1325</v>
      </c>
      <c r="AI422" s="288">
        <v>-1190</v>
      </c>
      <c r="AJ422" s="288">
        <v>-100</v>
      </c>
      <c r="AK422" s="288">
        <v>-485</v>
      </c>
      <c r="AL422" s="288">
        <v>770</v>
      </c>
      <c r="AM422" s="288">
        <v>285</v>
      </c>
      <c r="AN422" s="288">
        <v>-125</v>
      </c>
      <c r="AO422" s="288">
        <v>40</v>
      </c>
      <c r="AP422" s="288">
        <v>515</v>
      </c>
      <c r="AQ422" s="288">
        <v>-355</v>
      </c>
      <c r="AR422" s="288">
        <v>-305</v>
      </c>
      <c r="AS422" s="288">
        <v>225</v>
      </c>
      <c r="AT422" s="288">
        <v>140</v>
      </c>
      <c r="AU422" s="288">
        <v>-485</v>
      </c>
      <c r="AV422" s="287">
        <f t="shared" ca="1" si="27"/>
        <v>-485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388.6</v>
      </c>
      <c r="G423" s="271">
        <v>386.8</v>
      </c>
      <c r="H423" s="271">
        <v>389.9</v>
      </c>
      <c r="I423" s="271">
        <v>393.9</v>
      </c>
      <c r="J423" s="271">
        <v>393.9</v>
      </c>
      <c r="K423" s="271">
        <v>392.7</v>
      </c>
      <c r="L423" s="271">
        <v>396.6</v>
      </c>
      <c r="M423" s="271">
        <v>395.2</v>
      </c>
      <c r="N423" s="271">
        <v>394.5</v>
      </c>
      <c r="O423" s="271">
        <v>390.2</v>
      </c>
      <c r="P423" s="271">
        <v>390.6</v>
      </c>
      <c r="Q423" s="271">
        <v>392.6</v>
      </c>
      <c r="R423" s="271">
        <v>391.7</v>
      </c>
      <c r="S423" s="271">
        <v>390.8</v>
      </c>
      <c r="T423" s="271">
        <v>392.5</v>
      </c>
      <c r="U423" s="271">
        <v>394.2</v>
      </c>
      <c r="V423" s="271">
        <v>397.9</v>
      </c>
      <c r="W423" s="271">
        <v>398.1</v>
      </c>
      <c r="X423" s="271">
        <v>389.5</v>
      </c>
      <c r="Y423" s="271">
        <v>386.8</v>
      </c>
      <c r="Z423" s="273">
        <f ca="1">[1]ExtEntry!$J25</f>
        <v>386.8</v>
      </c>
      <c r="AB423" s="284">
        <v>25380</v>
      </c>
      <c r="AC423" s="284">
        <v>2430</v>
      </c>
      <c r="AD423" s="284">
        <v>9180</v>
      </c>
      <c r="AE423" s="284">
        <v>-19170</v>
      </c>
      <c r="AF423" s="284">
        <v>18090</v>
      </c>
      <c r="AG423" s="284">
        <v>-5670</v>
      </c>
      <c r="AH423" s="284">
        <v>28350</v>
      </c>
      <c r="AI423" s="284">
        <v>-1080</v>
      </c>
      <c r="AJ423" s="284">
        <v>-33750</v>
      </c>
      <c r="AK423" s="284">
        <v>-1080</v>
      </c>
      <c r="AL423" s="284">
        <v>27270</v>
      </c>
      <c r="AM423" s="284">
        <v>-65880</v>
      </c>
      <c r="AN423" s="284">
        <v>-3553.1999999999534</v>
      </c>
      <c r="AO423" s="284">
        <v>2430</v>
      </c>
      <c r="AP423" s="284">
        <v>-9450</v>
      </c>
      <c r="AQ423" s="284">
        <v>-10800</v>
      </c>
      <c r="AR423" s="284">
        <v>48600</v>
      </c>
      <c r="AS423" s="284">
        <v>-66916.800000000047</v>
      </c>
      <c r="AT423" s="284">
        <v>-10260</v>
      </c>
      <c r="AU423" s="284">
        <v>-7020</v>
      </c>
      <c r="AV423" s="283">
        <f t="shared" ca="1" si="27"/>
        <v>-7020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70.67</v>
      </c>
      <c r="G424" s="271">
        <v>69.715000000000003</v>
      </c>
      <c r="H424" s="271">
        <v>70.394999999999996</v>
      </c>
      <c r="I424" s="271">
        <v>71.14</v>
      </c>
      <c r="J424" s="271">
        <v>71.14</v>
      </c>
      <c r="K424" s="271">
        <v>71.83</v>
      </c>
      <c r="L424" s="271">
        <v>70.47</v>
      </c>
      <c r="M424" s="271">
        <v>70.405000000000001</v>
      </c>
      <c r="N424" s="271">
        <v>69.34</v>
      </c>
      <c r="O424" s="271">
        <v>67.98</v>
      </c>
      <c r="P424" s="271">
        <v>67.885000000000005</v>
      </c>
      <c r="Q424" s="271">
        <v>68.930000000000007</v>
      </c>
      <c r="R424" s="271">
        <v>68.58</v>
      </c>
      <c r="S424" s="271">
        <v>68.58</v>
      </c>
      <c r="T424" s="271">
        <v>68.724999999999994</v>
      </c>
      <c r="U424" s="271">
        <v>68.180000000000007</v>
      </c>
      <c r="V424" s="271">
        <v>67.900000000000006</v>
      </c>
      <c r="W424" s="271">
        <v>67.7</v>
      </c>
      <c r="X424" s="271">
        <v>69.89</v>
      </c>
      <c r="Y424" s="271">
        <v>68.98</v>
      </c>
      <c r="Z424" s="273">
        <f ca="1">[1]ExtEntry!$J26</f>
        <v>68.98</v>
      </c>
      <c r="AB424" s="288">
        <v>-3130</v>
      </c>
      <c r="AC424" s="288">
        <v>1050</v>
      </c>
      <c r="AD424" s="288">
        <v>300</v>
      </c>
      <c r="AE424" s="288">
        <v>3190</v>
      </c>
      <c r="AF424" s="288">
        <v>2755.1999999999825</v>
      </c>
      <c r="AG424" s="288">
        <v>4360</v>
      </c>
      <c r="AH424" s="288">
        <v>-420</v>
      </c>
      <c r="AI424" s="288">
        <v>-2930</v>
      </c>
      <c r="AJ424" s="288">
        <v>-3670</v>
      </c>
      <c r="AK424" s="288">
        <v>-3550</v>
      </c>
      <c r="AL424" s="288">
        <v>-1900.9999999999709</v>
      </c>
      <c r="AM424" s="288">
        <v>775.79999999995925</v>
      </c>
      <c r="AN424" s="288">
        <v>-3812.7000000000116</v>
      </c>
      <c r="AO424" s="288">
        <v>1961.0000000000291</v>
      </c>
      <c r="AP424" s="288">
        <v>310.80000000004657</v>
      </c>
      <c r="AQ424" s="288">
        <v>359.10000000000582</v>
      </c>
      <c r="AR424" s="288">
        <v>-2207.7999999999884</v>
      </c>
      <c r="AS424" s="288">
        <v>2088.1000000000058</v>
      </c>
      <c r="AT424" s="288">
        <v>-4628.4000000000233</v>
      </c>
      <c r="AU424" s="288">
        <v>4069.7999999999884</v>
      </c>
      <c r="AV424" s="287">
        <f t="shared" ca="1" si="27"/>
        <v>4069.7999999999884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12.865</v>
      </c>
      <c r="G425" s="271">
        <v>12.77</v>
      </c>
      <c r="H425" s="271">
        <v>12.76</v>
      </c>
      <c r="I425" s="271">
        <v>12.765000000000001</v>
      </c>
      <c r="J425" s="271">
        <v>12.765000000000001</v>
      </c>
      <c r="K425" s="271">
        <v>12.57</v>
      </c>
      <c r="L425" s="271">
        <v>12.95</v>
      </c>
      <c r="M425" s="271">
        <v>12.68</v>
      </c>
      <c r="N425" s="271">
        <v>12.634</v>
      </c>
      <c r="O425" s="271">
        <v>12.2</v>
      </c>
      <c r="P425" s="271">
        <v>12.3</v>
      </c>
      <c r="Q425" s="271">
        <v>12.19</v>
      </c>
      <c r="R425" s="271">
        <v>12.29</v>
      </c>
      <c r="S425" s="271">
        <v>12.299899999999999</v>
      </c>
      <c r="T425" s="271">
        <v>12.24</v>
      </c>
      <c r="U425" s="271">
        <v>12.48</v>
      </c>
      <c r="V425" s="271">
        <v>12.35</v>
      </c>
      <c r="W425" s="271">
        <v>12.23</v>
      </c>
      <c r="X425" s="271">
        <v>12.15</v>
      </c>
      <c r="Y425" s="271">
        <v>12.6</v>
      </c>
      <c r="Z425" s="273">
        <f ca="1">[1]ExtEntry!$J27</f>
        <v>12.6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4.41</v>
      </c>
      <c r="G426" s="271">
        <v>4.54</v>
      </c>
      <c r="H426" s="271">
        <v>4.8899999999999997</v>
      </c>
      <c r="I426" s="271">
        <v>4.7149999999999999</v>
      </c>
      <c r="J426" s="271">
        <v>4.7149999999999999</v>
      </c>
      <c r="K426" s="271">
        <v>4.5549999999999997</v>
      </c>
      <c r="L426" s="271">
        <v>4.7549999999999999</v>
      </c>
      <c r="M426" s="271">
        <v>4.7549999999999999</v>
      </c>
      <c r="N426" s="271">
        <v>5.31</v>
      </c>
      <c r="O426" s="271">
        <v>5.55</v>
      </c>
      <c r="P426" s="271">
        <v>5.0308000000000002</v>
      </c>
      <c r="Q426" s="271">
        <v>4.9000000000000004</v>
      </c>
      <c r="R426" s="271">
        <v>4.78</v>
      </c>
      <c r="S426" s="271">
        <v>4.79</v>
      </c>
      <c r="T426" s="271">
        <v>5.34</v>
      </c>
      <c r="U426" s="271">
        <v>5.125</v>
      </c>
      <c r="V426" s="271">
        <v>5.65</v>
      </c>
      <c r="W426" s="271">
        <v>6.38</v>
      </c>
      <c r="X426" s="271">
        <v>6.6449999999999996</v>
      </c>
      <c r="Y426" s="271">
        <v>6.1498999999999997</v>
      </c>
      <c r="Z426" s="273">
        <f ca="1">[1]ExtEntry!$J28</f>
        <v>6.1498999999999997</v>
      </c>
      <c r="AB426" s="288">
        <v>190</v>
      </c>
      <c r="AC426" s="288">
        <v>80</v>
      </c>
      <c r="AD426" s="288">
        <v>376.20000000000073</v>
      </c>
      <c r="AE426" s="288">
        <v>-570</v>
      </c>
      <c r="AF426" s="288">
        <v>-560</v>
      </c>
      <c r="AG426" s="288">
        <v>320</v>
      </c>
      <c r="AH426" s="288">
        <v>100</v>
      </c>
      <c r="AI426" s="288">
        <v>-296.20000000000073</v>
      </c>
      <c r="AJ426" s="288">
        <v>1350</v>
      </c>
      <c r="AK426" s="288">
        <v>-280</v>
      </c>
      <c r="AL426" s="288">
        <v>90</v>
      </c>
      <c r="AM426" s="288">
        <v>-240</v>
      </c>
      <c r="AN426" s="288">
        <v>-130</v>
      </c>
      <c r="AO426" s="288">
        <v>-110</v>
      </c>
      <c r="AP426" s="288">
        <v>920</v>
      </c>
      <c r="AQ426" s="288">
        <v>970</v>
      </c>
      <c r="AR426" s="288">
        <v>1150</v>
      </c>
      <c r="AS426" s="288">
        <v>1030</v>
      </c>
      <c r="AT426" s="288">
        <v>-150</v>
      </c>
      <c r="AU426" s="288">
        <v>-450</v>
      </c>
      <c r="AV426" s="287">
        <f t="shared" ca="1" si="27"/>
        <v>-450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26.64</v>
      </c>
      <c r="G427" s="271">
        <v>28.13</v>
      </c>
      <c r="H427" s="271">
        <v>28.51</v>
      </c>
      <c r="I427" s="271">
        <v>28.3</v>
      </c>
      <c r="J427" s="271">
        <v>28.3</v>
      </c>
      <c r="K427" s="271">
        <v>27.89</v>
      </c>
      <c r="L427" s="271">
        <v>27.22</v>
      </c>
      <c r="M427" s="271">
        <v>25.51</v>
      </c>
      <c r="N427" s="271">
        <v>25.64</v>
      </c>
      <c r="O427" s="271">
        <v>25.17</v>
      </c>
      <c r="P427" s="271">
        <v>24.38</v>
      </c>
      <c r="Q427" s="271">
        <v>24.195</v>
      </c>
      <c r="R427" s="271">
        <v>24.66</v>
      </c>
      <c r="S427" s="271">
        <v>24.66</v>
      </c>
      <c r="T427" s="271">
        <v>24.34</v>
      </c>
      <c r="U427" s="271">
        <v>24.925000000000001</v>
      </c>
      <c r="V427" s="271">
        <v>25.465</v>
      </c>
      <c r="W427" s="271">
        <v>25.35</v>
      </c>
      <c r="X427" s="271">
        <v>25.9</v>
      </c>
      <c r="Y427" s="271">
        <v>25.414999999999999</v>
      </c>
      <c r="Z427" s="273">
        <f ca="1">[1]ExtEntry!$J29</f>
        <v>25.414999999999999</v>
      </c>
      <c r="AB427" s="284">
        <v>5398.7999999999884</v>
      </c>
      <c r="AC427" s="284">
        <v>6420</v>
      </c>
      <c r="AD427" s="284">
        <v>-5880</v>
      </c>
      <c r="AE427" s="284">
        <v>-4380</v>
      </c>
      <c r="AF427" s="284">
        <v>-12060</v>
      </c>
      <c r="AG427" s="284">
        <v>-12718.799999999988</v>
      </c>
      <c r="AH427" s="284">
        <v>-31440</v>
      </c>
      <c r="AI427" s="284">
        <v>-5340</v>
      </c>
      <c r="AJ427" s="284">
        <v>6780</v>
      </c>
      <c r="AK427" s="284">
        <v>-4080</v>
      </c>
      <c r="AL427" s="284">
        <v>8040</v>
      </c>
      <c r="AM427" s="284">
        <v>15840</v>
      </c>
      <c r="AN427" s="284">
        <v>22680</v>
      </c>
      <c r="AO427" s="284">
        <v>6120</v>
      </c>
      <c r="AP427" s="284">
        <v>12300</v>
      </c>
      <c r="AQ427" s="284">
        <v>780</v>
      </c>
      <c r="AR427" s="284">
        <v>120</v>
      </c>
      <c r="AS427" s="284">
        <v>-4680</v>
      </c>
      <c r="AT427" s="284">
        <v>11880</v>
      </c>
      <c r="AU427" s="284">
        <v>-26220</v>
      </c>
      <c r="AV427" s="283">
        <f t="shared" ca="1" si="27"/>
        <v>-26220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525.94989999999996</v>
      </c>
      <c r="G428" s="271">
        <v>524.51</v>
      </c>
      <c r="H428" s="271">
        <v>522.82000000000005</v>
      </c>
      <c r="I428" s="271">
        <v>515.16409999999996</v>
      </c>
      <c r="J428" s="271">
        <v>515.16409999999996</v>
      </c>
      <c r="K428" s="271">
        <v>511</v>
      </c>
      <c r="L428" s="271">
        <v>508.19</v>
      </c>
      <c r="M428" s="271">
        <v>504.9778</v>
      </c>
      <c r="N428" s="271">
        <v>507.29</v>
      </c>
      <c r="O428" s="271">
        <v>510.23880000000003</v>
      </c>
      <c r="P428" s="271">
        <v>509.6</v>
      </c>
      <c r="Q428" s="271">
        <v>505.42919999999998</v>
      </c>
      <c r="R428" s="271">
        <v>507.79</v>
      </c>
      <c r="S428" s="271">
        <v>507.79</v>
      </c>
      <c r="T428" s="271">
        <v>508.15</v>
      </c>
      <c r="U428" s="271">
        <v>501.19499999999999</v>
      </c>
      <c r="V428" s="271">
        <v>502.25</v>
      </c>
      <c r="W428" s="271">
        <v>503.22989999999999</v>
      </c>
      <c r="X428" s="271">
        <v>503.17</v>
      </c>
      <c r="Y428" s="271">
        <v>512.54999999999995</v>
      </c>
      <c r="Z428" s="273">
        <f ca="1">[1]ExtEntry!$J30</f>
        <v>512.54999999999995</v>
      </c>
      <c r="AB428" s="288">
        <v>124042.20000000019</v>
      </c>
      <c r="AC428" s="288">
        <v>-26927.999999999069</v>
      </c>
      <c r="AD428" s="288">
        <v>-60893.999999999069</v>
      </c>
      <c r="AE428" s="288">
        <v>-117810</v>
      </c>
      <c r="AF428" s="288">
        <v>23434.5</v>
      </c>
      <c r="AG428" s="288">
        <v>-54519</v>
      </c>
      <c r="AH428" s="288">
        <v>-22236.000000000931</v>
      </c>
      <c r="AI428" s="288">
        <v>12290.999999999069</v>
      </c>
      <c r="AJ428" s="288">
        <v>110262</v>
      </c>
      <c r="AK428" s="288">
        <v>72369</v>
      </c>
      <c r="AL428" s="288">
        <v>22185</v>
      </c>
      <c r="AM428" s="288">
        <v>32742</v>
      </c>
      <c r="AN428" s="288">
        <v>40188</v>
      </c>
      <c r="AO428" s="288">
        <v>39525</v>
      </c>
      <c r="AP428" s="288">
        <v>26979</v>
      </c>
      <c r="AQ428" s="288">
        <v>21063</v>
      </c>
      <c r="AR428" s="288">
        <v>-39372</v>
      </c>
      <c r="AS428" s="288">
        <v>-42636</v>
      </c>
      <c r="AT428" s="288">
        <v>-22950</v>
      </c>
      <c r="AU428" s="288">
        <v>-4284</v>
      </c>
      <c r="AV428" s="287">
        <f t="shared" ca="1" si="27"/>
        <v>-4284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72.11</v>
      </c>
      <c r="G429" s="271">
        <v>72.784999999999997</v>
      </c>
      <c r="H429" s="271">
        <v>77.31</v>
      </c>
      <c r="I429" s="271">
        <v>76.545000000000002</v>
      </c>
      <c r="J429" s="271">
        <v>76.545000000000002</v>
      </c>
      <c r="K429" s="271">
        <v>77.260000000000005</v>
      </c>
      <c r="L429" s="271">
        <v>76.2</v>
      </c>
      <c r="M429" s="271">
        <v>75.75</v>
      </c>
      <c r="N429" s="271">
        <v>75.010000000000005</v>
      </c>
      <c r="O429" s="271">
        <v>73.48</v>
      </c>
      <c r="P429" s="271">
        <v>72.83</v>
      </c>
      <c r="Q429" s="271">
        <v>72.27</v>
      </c>
      <c r="R429" s="271">
        <v>72.627700000000004</v>
      </c>
      <c r="S429" s="271">
        <v>72.627700000000004</v>
      </c>
      <c r="T429" s="271">
        <v>72.5</v>
      </c>
      <c r="U429" s="271">
        <v>70.84</v>
      </c>
      <c r="V429" s="271">
        <v>70.314999999999998</v>
      </c>
      <c r="W429" s="271">
        <v>71.33</v>
      </c>
      <c r="X429" s="271">
        <v>71.44</v>
      </c>
      <c r="Y429" s="271">
        <v>72.489999999999995</v>
      </c>
      <c r="Z429" s="273">
        <f ca="1">[1]ExtEntry!$J31</f>
        <v>72.489999999999995</v>
      </c>
      <c r="AB429" s="284">
        <v>2352</v>
      </c>
      <c r="AC429" s="284">
        <v>84</v>
      </c>
      <c r="AD429" s="284">
        <v>84</v>
      </c>
      <c r="AE429" s="284">
        <v>5733</v>
      </c>
      <c r="AF429" s="284">
        <v>3885</v>
      </c>
      <c r="AG429" s="284">
        <v>-714</v>
      </c>
      <c r="AH429" s="284">
        <v>-2870.0000000000291</v>
      </c>
      <c r="AI429" s="284">
        <v>-3222</v>
      </c>
      <c r="AJ429" s="284">
        <v>-5365</v>
      </c>
      <c r="AK429" s="284">
        <v>-2093</v>
      </c>
      <c r="AL429" s="284">
        <v>2155.9999999999982</v>
      </c>
      <c r="AM429" s="284">
        <v>1576.0000000000273</v>
      </c>
      <c r="AN429" s="284">
        <v>1434.0000000000291</v>
      </c>
      <c r="AO429" s="284">
        <v>1822</v>
      </c>
      <c r="AP429" s="284">
        <v>-180</v>
      </c>
      <c r="AQ429" s="284">
        <v>-133.99999999999818</v>
      </c>
      <c r="AR429" s="284">
        <v>76.000000000001819</v>
      </c>
      <c r="AS429" s="284">
        <v>4523</v>
      </c>
      <c r="AT429" s="284">
        <v>2093</v>
      </c>
      <c r="AU429" s="284">
        <v>2378</v>
      </c>
      <c r="AV429" s="283">
        <f t="shared" ca="1" si="27"/>
        <v>2378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68.894999999999996</v>
      </c>
      <c r="G430" s="271">
        <v>69.239999999999995</v>
      </c>
      <c r="H430" s="271">
        <v>69.69</v>
      </c>
      <c r="I430" s="271">
        <v>68.965000000000003</v>
      </c>
      <c r="J430" s="271">
        <v>68.965000000000003</v>
      </c>
      <c r="K430" s="271">
        <v>69.05</v>
      </c>
      <c r="L430" s="271">
        <v>71.75</v>
      </c>
      <c r="M430" s="271">
        <v>72.790000000000006</v>
      </c>
      <c r="N430" s="271">
        <v>72.545000000000002</v>
      </c>
      <c r="O430" s="271">
        <v>73.11</v>
      </c>
      <c r="P430" s="271">
        <v>74.52</v>
      </c>
      <c r="Q430" s="271">
        <v>76.045000000000002</v>
      </c>
      <c r="R430" s="271">
        <v>76.510000000000005</v>
      </c>
      <c r="S430" s="271">
        <v>76.510000000000005</v>
      </c>
      <c r="T430" s="271">
        <v>75.180000000000007</v>
      </c>
      <c r="U430" s="271">
        <v>77.179900000000004</v>
      </c>
      <c r="V430" s="271">
        <v>76.67</v>
      </c>
      <c r="W430" s="271">
        <v>78.78</v>
      </c>
      <c r="X430" s="271">
        <v>79.77</v>
      </c>
      <c r="Y430" s="271">
        <v>80.069999999999993</v>
      </c>
      <c r="Z430" s="273">
        <f ca="1">[1]ExtEntry!$J32</f>
        <v>80.069999999999993</v>
      </c>
      <c r="AB430" s="288">
        <v>6006</v>
      </c>
      <c r="AC430" s="288">
        <v>637</v>
      </c>
      <c r="AD430" s="288">
        <v>-11284</v>
      </c>
      <c r="AE430" s="288">
        <v>-29575</v>
      </c>
      <c r="AF430" s="288">
        <v>-8190</v>
      </c>
      <c r="AG430" s="288">
        <v>27937</v>
      </c>
      <c r="AH430" s="288">
        <v>-2912</v>
      </c>
      <c r="AI430" s="288">
        <v>34125</v>
      </c>
      <c r="AJ430" s="288">
        <v>36127</v>
      </c>
      <c r="AK430" s="288">
        <v>32367.079999999842</v>
      </c>
      <c r="AL430" s="288">
        <v>5008</v>
      </c>
      <c r="AM430" s="288">
        <v>6717</v>
      </c>
      <c r="AN430" s="288">
        <v>-3246</v>
      </c>
      <c r="AO430" s="288">
        <v>-42375</v>
      </c>
      <c r="AP430" s="288">
        <v>3427.9200000001583</v>
      </c>
      <c r="AQ430" s="288">
        <v>-39204</v>
      </c>
      <c r="AR430" s="288">
        <v>-15390</v>
      </c>
      <c r="AS430" s="288">
        <v>18711</v>
      </c>
      <c r="AT430" s="288">
        <v>45441</v>
      </c>
      <c r="AU430" s="288">
        <v>-15047</v>
      </c>
      <c r="AV430" s="287">
        <f t="shared" ca="1" si="27"/>
        <v>-15047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1244.0899999999999</v>
      </c>
      <c r="G431" s="271">
        <v>1246.941</v>
      </c>
      <c r="H431" s="271">
        <v>1251.1599000000001</v>
      </c>
      <c r="I431" s="271">
        <v>1240.9999</v>
      </c>
      <c r="J431" s="271">
        <v>1240.9999</v>
      </c>
      <c r="K431" s="271">
        <v>1222.9999</v>
      </c>
      <c r="L431" s="271">
        <v>1233.8</v>
      </c>
      <c r="M431" s="271">
        <v>1231.4999</v>
      </c>
      <c r="N431" s="271">
        <v>1229.21</v>
      </c>
      <c r="O431" s="271">
        <v>1226.5101999999999</v>
      </c>
      <c r="P431" s="271">
        <v>1228.79</v>
      </c>
      <c r="Q431" s="271">
        <v>1213</v>
      </c>
      <c r="R431" s="271">
        <v>1218.0998999999999</v>
      </c>
      <c r="S431" s="271">
        <v>1226.9999</v>
      </c>
      <c r="T431" s="271">
        <v>1257.48</v>
      </c>
      <c r="U431" s="271">
        <v>1252.0405000000001</v>
      </c>
      <c r="V431" s="271">
        <v>1265.721</v>
      </c>
      <c r="W431" s="271">
        <v>1267</v>
      </c>
      <c r="X431" s="271">
        <v>1253.4449999999999</v>
      </c>
      <c r="Y431" s="271">
        <v>1211.78</v>
      </c>
      <c r="Z431" s="273">
        <f ca="1">[1]ExtEntry!$J33</f>
        <v>1211.78</v>
      </c>
      <c r="AB431" s="284">
        <v>20459.999999999884</v>
      </c>
      <c r="AC431" s="284">
        <v>-330</v>
      </c>
      <c r="AD431" s="284">
        <v>2111.9999999998836</v>
      </c>
      <c r="AE431" s="284">
        <v>-16716.000000000116</v>
      </c>
      <c r="AF431" s="284">
        <v>-9335.9400000000605</v>
      </c>
      <c r="AG431" s="284">
        <v>-19188</v>
      </c>
      <c r="AH431" s="284">
        <v>7722</v>
      </c>
      <c r="AI431" s="284">
        <v>-1043.9999999998836</v>
      </c>
      <c r="AJ431" s="284">
        <v>16482.000000000233</v>
      </c>
      <c r="AK431" s="284">
        <v>18501.000000000116</v>
      </c>
      <c r="AL431" s="284">
        <v>-9347.9999999998836</v>
      </c>
      <c r="AM431" s="284">
        <v>-6565.5</v>
      </c>
      <c r="AN431" s="284">
        <v>-5976</v>
      </c>
      <c r="AO431" s="284">
        <v>9095.9999999998836</v>
      </c>
      <c r="AP431" s="284">
        <v>18615</v>
      </c>
      <c r="AQ431" s="284">
        <v>9564</v>
      </c>
      <c r="AR431" s="284">
        <v>6661.5</v>
      </c>
      <c r="AS431" s="284">
        <v>-13635</v>
      </c>
      <c r="AT431" s="284">
        <v>-39638.999999999767</v>
      </c>
      <c r="AU431" s="284">
        <v>-29337</v>
      </c>
      <c r="AV431" s="283">
        <f t="shared" ca="1" si="27"/>
        <v>-29337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0.56000000000000005</v>
      </c>
      <c r="G432" s="271">
        <v>0.54620000000000002</v>
      </c>
      <c r="H432" s="271">
        <v>0.53839999999999999</v>
      </c>
      <c r="I432" s="271">
        <v>0.54</v>
      </c>
      <c r="J432" s="271">
        <v>0.54</v>
      </c>
      <c r="K432" s="271">
        <v>0.51880000000000004</v>
      </c>
      <c r="L432" s="271">
        <v>0.45989999999999998</v>
      </c>
      <c r="M432" s="271">
        <v>0.44219999999999998</v>
      </c>
      <c r="N432" s="271">
        <v>0.46899999999999997</v>
      </c>
      <c r="O432" s="271">
        <v>0.44409999999999999</v>
      </c>
      <c r="P432" s="271">
        <v>0.435</v>
      </c>
      <c r="Q432" s="271">
        <v>5.1349999999999998</v>
      </c>
      <c r="R432" s="271">
        <v>5.4</v>
      </c>
      <c r="S432" s="271">
        <v>5.4</v>
      </c>
      <c r="T432" s="271">
        <v>4.6500000000000004</v>
      </c>
      <c r="U432" s="271">
        <v>4.54</v>
      </c>
      <c r="V432" s="271">
        <v>4.8899999999999997</v>
      </c>
      <c r="W432" s="271">
        <v>5.48</v>
      </c>
      <c r="X432" s="271">
        <v>5.25</v>
      </c>
      <c r="Y432" s="271">
        <v>5.05</v>
      </c>
      <c r="Z432" s="273">
        <f ca="1">[1]ExtEntry!$J34</f>
        <v>5.05</v>
      </c>
      <c r="AB432" s="288">
        <v>-9453.0000000000291</v>
      </c>
      <c r="AC432" s="288">
        <v>306.99999999998545</v>
      </c>
      <c r="AD432" s="288">
        <v>-969.00000000001455</v>
      </c>
      <c r="AE432" s="288">
        <v>-5443.9999999999418</v>
      </c>
      <c r="AF432" s="288">
        <v>-6031.9999999999709</v>
      </c>
      <c r="AG432" s="288">
        <v>-869.9999999999709</v>
      </c>
      <c r="AH432" s="288">
        <v>-5742.0000000000146</v>
      </c>
      <c r="AI432" s="288">
        <v>-5510.0000000000146</v>
      </c>
      <c r="AJ432" s="288">
        <v>10785.999999999971</v>
      </c>
      <c r="AK432" s="288">
        <v>5825.9999999999709</v>
      </c>
      <c r="AL432" s="288">
        <v>9973</v>
      </c>
      <c r="AM432" s="288">
        <v>-7103.7782999999908</v>
      </c>
      <c r="AN432" s="288">
        <v>-1506.3749999999854</v>
      </c>
      <c r="AO432" s="288">
        <v>-11262.50999999998</v>
      </c>
      <c r="AP432" s="288">
        <v>-14773.529999999999</v>
      </c>
      <c r="AQ432" s="288">
        <v>7648.1300000000192</v>
      </c>
      <c r="AR432" s="288">
        <v>15064.188300000023</v>
      </c>
      <c r="AS432" s="288">
        <v>12933.494999999995</v>
      </c>
      <c r="AT432" s="288">
        <v>12533.489999999976</v>
      </c>
      <c r="AU432" s="288">
        <v>6000.0749999999971</v>
      </c>
      <c r="AV432" s="287">
        <f t="shared" ca="1" si="27"/>
        <v>6000.0749999999971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32.063499999999998</v>
      </c>
      <c r="G433" s="271">
        <v>31.72</v>
      </c>
      <c r="H433" s="271">
        <v>31.660599999999999</v>
      </c>
      <c r="I433" s="271">
        <v>31.8</v>
      </c>
      <c r="J433" s="271">
        <v>31.8</v>
      </c>
      <c r="K433" s="271">
        <v>31.28</v>
      </c>
      <c r="L433" s="271">
        <v>32.770000000000003</v>
      </c>
      <c r="M433" s="271">
        <v>33.204999999999998</v>
      </c>
      <c r="N433" s="271">
        <v>33.045000000000002</v>
      </c>
      <c r="O433" s="271">
        <v>33.134999999999998</v>
      </c>
      <c r="P433" s="271">
        <v>33.99</v>
      </c>
      <c r="Q433" s="271">
        <v>35</v>
      </c>
      <c r="R433" s="271">
        <v>34.905000000000001</v>
      </c>
      <c r="S433" s="271">
        <v>34.909999999999997</v>
      </c>
      <c r="T433" s="271">
        <v>34.049999999999997</v>
      </c>
      <c r="U433" s="271">
        <v>36.14</v>
      </c>
      <c r="V433" s="271">
        <v>36.31</v>
      </c>
      <c r="W433" s="271">
        <v>36.49</v>
      </c>
      <c r="X433" s="271">
        <v>36.869999999999997</v>
      </c>
      <c r="Y433" s="271">
        <v>37.56</v>
      </c>
      <c r="Z433" s="273">
        <f ca="1">[1]ExtEntry!$J35</f>
        <v>37.56</v>
      </c>
      <c r="AB433" s="284">
        <v>2262.4000000000233</v>
      </c>
      <c r="AC433" s="284">
        <v>1160</v>
      </c>
      <c r="AD433" s="284">
        <v>-1560</v>
      </c>
      <c r="AE433" s="284">
        <v>-6525.0000000000291</v>
      </c>
      <c r="AF433" s="284">
        <v>4035.0000000000291</v>
      </c>
      <c r="AG433" s="284">
        <v>3507.5999999999767</v>
      </c>
      <c r="AH433" s="284">
        <v>-1690</v>
      </c>
      <c r="AI433" s="284">
        <v>3580</v>
      </c>
      <c r="AJ433" s="284">
        <v>7575</v>
      </c>
      <c r="AK433" s="284">
        <v>2605</v>
      </c>
      <c r="AL433" s="284">
        <v>1630</v>
      </c>
      <c r="AM433" s="284">
        <v>-1970</v>
      </c>
      <c r="AN433" s="284">
        <v>-1004</v>
      </c>
      <c r="AO433" s="284">
        <v>-5660</v>
      </c>
      <c r="AP433" s="284">
        <v>2640</v>
      </c>
      <c r="AQ433" s="284">
        <v>-4040</v>
      </c>
      <c r="AR433" s="284">
        <v>-260</v>
      </c>
      <c r="AS433" s="284">
        <v>2414</v>
      </c>
      <c r="AT433" s="284">
        <v>6204.8000000000175</v>
      </c>
      <c r="AU433" s="284">
        <v>-3480</v>
      </c>
      <c r="AV433" s="283">
        <f t="shared" ref="AV433:AV464" ca="1" si="29">AV334-AP334</f>
        <v>-3480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5.57</v>
      </c>
      <c r="G434" s="271">
        <v>5.3028000000000004</v>
      </c>
      <c r="H434" s="271">
        <v>4.58</v>
      </c>
      <c r="I434" s="271">
        <v>4.6498999999999997</v>
      </c>
      <c r="J434" s="271">
        <v>4.6498999999999997</v>
      </c>
      <c r="K434" s="271">
        <v>4.6845999999999997</v>
      </c>
      <c r="L434" s="271">
        <v>4.8</v>
      </c>
      <c r="M434" s="271">
        <v>4.74</v>
      </c>
      <c r="N434" s="271">
        <v>4.57</v>
      </c>
      <c r="O434" s="271">
        <v>4.6050000000000004</v>
      </c>
      <c r="P434" s="271">
        <v>4.6900000000000004</v>
      </c>
      <c r="Q434" s="271">
        <v>4.532</v>
      </c>
      <c r="R434" s="271">
        <v>4.4800000000000004</v>
      </c>
      <c r="S434" s="271">
        <v>4.5</v>
      </c>
      <c r="T434" s="271">
        <v>4.4800000000000004</v>
      </c>
      <c r="U434" s="271">
        <v>4.2350000000000003</v>
      </c>
      <c r="V434" s="271">
        <v>4.1742999999999997</v>
      </c>
      <c r="W434" s="271">
        <v>4.1100000000000003</v>
      </c>
      <c r="X434" s="271">
        <v>4.04</v>
      </c>
      <c r="Y434" s="271">
        <v>4.0999999999999996</v>
      </c>
      <c r="Z434" s="273">
        <f ca="1">[1]ExtEntry!$J36</f>
        <v>4.0999999999999996</v>
      </c>
      <c r="AB434" s="288">
        <v>-20</v>
      </c>
      <c r="AC434" s="288">
        <v>-1019.7999999999993</v>
      </c>
      <c r="AD434" s="288">
        <v>-79.799999999999272</v>
      </c>
      <c r="AE434" s="288">
        <v>40</v>
      </c>
      <c r="AF434" s="288">
        <v>-172.20000000000073</v>
      </c>
      <c r="AG434" s="288">
        <v>330</v>
      </c>
      <c r="AH434" s="288">
        <v>839.79999999999927</v>
      </c>
      <c r="AI434" s="288">
        <v>-380.20000000000073</v>
      </c>
      <c r="AJ434" s="288">
        <v>140</v>
      </c>
      <c r="AK434" s="288">
        <v>-80</v>
      </c>
      <c r="AL434" s="288">
        <v>-280</v>
      </c>
      <c r="AM434" s="288">
        <v>56.800000000001091</v>
      </c>
      <c r="AN434" s="288">
        <v>100</v>
      </c>
      <c r="AO434" s="288">
        <v>140</v>
      </c>
      <c r="AP434" s="288">
        <v>220</v>
      </c>
      <c r="AQ434" s="288">
        <v>-100</v>
      </c>
      <c r="AR434" s="288">
        <v>63.199999999997999</v>
      </c>
      <c r="AS434" s="288">
        <v>-440</v>
      </c>
      <c r="AT434" s="288">
        <v>420</v>
      </c>
      <c r="AU434" s="288">
        <v>-40</v>
      </c>
      <c r="AV434" s="287">
        <f t="shared" ca="1" si="29"/>
        <v>-40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5.05</v>
      </c>
      <c r="G435" s="271">
        <v>5.0999999999999996</v>
      </c>
      <c r="H435" s="271">
        <v>4.9890999999999996</v>
      </c>
      <c r="I435" s="271">
        <v>5.0999999999999996</v>
      </c>
      <c r="J435" s="271">
        <v>5.0999999999999996</v>
      </c>
      <c r="K435" s="271">
        <v>4.95</v>
      </c>
      <c r="L435" s="271">
        <v>5.69</v>
      </c>
      <c r="M435" s="271">
        <v>5.5164</v>
      </c>
      <c r="N435" s="271">
        <v>5.48</v>
      </c>
      <c r="O435" s="271">
        <v>5.4881000000000002</v>
      </c>
      <c r="P435" s="271">
        <v>5.75</v>
      </c>
      <c r="Q435" s="271">
        <v>5.3219000000000003</v>
      </c>
      <c r="R435" s="271">
        <v>5.34</v>
      </c>
      <c r="S435" s="271">
        <v>5.34</v>
      </c>
      <c r="T435" s="271">
        <v>5.28</v>
      </c>
      <c r="U435" s="271">
        <v>5.46</v>
      </c>
      <c r="V435" s="271">
        <v>5.4132999999999996</v>
      </c>
      <c r="W435" s="271">
        <v>5.62</v>
      </c>
      <c r="X435" s="271">
        <v>5.75</v>
      </c>
      <c r="Y435" s="271">
        <v>5.43</v>
      </c>
      <c r="Z435" s="273">
        <f ca="1">[1]ExtEntry!$J37</f>
        <v>5.43</v>
      </c>
      <c r="AB435" s="284">
        <v>-3750</v>
      </c>
      <c r="AC435" s="284">
        <v>-2499.9999999999709</v>
      </c>
      <c r="AD435" s="284">
        <v>-5000.0000000000291</v>
      </c>
      <c r="AE435" s="284">
        <v>3005.0000000000291</v>
      </c>
      <c r="AF435" s="284">
        <v>-14745.000000000029</v>
      </c>
      <c r="AG435" s="284">
        <v>7500.0000000000291</v>
      </c>
      <c r="AH435" s="284">
        <v>-4750.0000000000291</v>
      </c>
      <c r="AI435" s="284">
        <v>9750.0000000000291</v>
      </c>
      <c r="AJ435" s="284">
        <v>6495</v>
      </c>
      <c r="AK435" s="284">
        <v>13400</v>
      </c>
      <c r="AL435" s="284">
        <v>-24500.000000000029</v>
      </c>
      <c r="AM435" s="284">
        <v>3000.0000000000291</v>
      </c>
      <c r="AN435" s="284">
        <v>2505</v>
      </c>
      <c r="AO435" s="284">
        <v>-14000</v>
      </c>
      <c r="AP435" s="284">
        <v>3345</v>
      </c>
      <c r="AQ435" s="284">
        <v>20000</v>
      </c>
      <c r="AR435" s="284">
        <v>2499.9999999999709</v>
      </c>
      <c r="AS435" s="284">
        <v>18495</v>
      </c>
      <c r="AT435" s="284">
        <v>-7250</v>
      </c>
      <c r="AU435" s="284">
        <v>-18750</v>
      </c>
      <c r="AV435" s="283">
        <f t="shared" ca="1" si="29"/>
        <v>-18750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1.6597999999999999</v>
      </c>
      <c r="G436" s="271">
        <v>1.68</v>
      </c>
      <c r="H436" s="271">
        <v>1.3002</v>
      </c>
      <c r="I436" s="271">
        <v>1.4</v>
      </c>
      <c r="J436" s="271">
        <v>1.4</v>
      </c>
      <c r="K436" s="271">
        <v>1.4793000000000001</v>
      </c>
      <c r="L436" s="271">
        <v>1.56</v>
      </c>
      <c r="M436" s="271">
        <v>1.5145999999999999</v>
      </c>
      <c r="N436" s="271">
        <v>1.63</v>
      </c>
      <c r="O436" s="271">
        <v>1.9599</v>
      </c>
      <c r="P436" s="271">
        <v>1.2699</v>
      </c>
      <c r="Q436" s="271">
        <v>1.1499999999999999</v>
      </c>
      <c r="R436" s="271">
        <v>1.04</v>
      </c>
      <c r="S436" s="271">
        <v>1.04</v>
      </c>
      <c r="T436" s="271">
        <v>0.95</v>
      </c>
      <c r="U436" s="271">
        <v>1.0101</v>
      </c>
      <c r="V436" s="271">
        <v>0.98260000000000003</v>
      </c>
      <c r="W436" s="271">
        <v>1.06</v>
      </c>
      <c r="X436" s="271">
        <v>1.05</v>
      </c>
      <c r="Y436" s="271">
        <v>1.05</v>
      </c>
      <c r="Z436" s="273">
        <f ca="1">[1]ExtEntry!$J38</f>
        <v>1.05</v>
      </c>
      <c r="AB436" s="288">
        <v>-82</v>
      </c>
      <c r="AC436" s="288">
        <v>450</v>
      </c>
      <c r="AD436" s="288">
        <v>91.000000000001819</v>
      </c>
      <c r="AE436" s="288">
        <v>-1321</v>
      </c>
      <c r="AF436" s="288">
        <v>-1097</v>
      </c>
      <c r="AG436" s="288">
        <v>1096.9999999999982</v>
      </c>
      <c r="AH436" s="288">
        <v>-850</v>
      </c>
      <c r="AI436" s="288">
        <v>408.99999999999818</v>
      </c>
      <c r="AJ436" s="288">
        <v>1820.9999999999982</v>
      </c>
      <c r="AK436" s="288">
        <v>-929</v>
      </c>
      <c r="AL436" s="288">
        <v>-1596.9999999999982</v>
      </c>
      <c r="AM436" s="288">
        <v>-400</v>
      </c>
      <c r="AN436" s="288">
        <v>-541</v>
      </c>
      <c r="AO436" s="288">
        <v>-1366</v>
      </c>
      <c r="AP436" s="288">
        <v>172</v>
      </c>
      <c r="AQ436" s="288">
        <v>400</v>
      </c>
      <c r="AR436" s="288">
        <v>1101</v>
      </c>
      <c r="AS436" s="288">
        <v>1241</v>
      </c>
      <c r="AT436" s="288">
        <v>1066</v>
      </c>
      <c r="AU436" s="288">
        <v>778</v>
      </c>
      <c r="AV436" s="287">
        <f t="shared" ca="1" si="29"/>
        <v>778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38.35</v>
      </c>
      <c r="G437" s="271">
        <v>38.945</v>
      </c>
      <c r="H437" s="271">
        <v>41.25</v>
      </c>
      <c r="I437" s="271">
        <v>40.94</v>
      </c>
      <c r="J437" s="271">
        <v>40.94</v>
      </c>
      <c r="K437" s="271">
        <v>41.86</v>
      </c>
      <c r="L437" s="271">
        <v>42.9</v>
      </c>
      <c r="M437" s="271">
        <v>41.73</v>
      </c>
      <c r="N437" s="271">
        <v>42.076300000000003</v>
      </c>
      <c r="O437" s="271">
        <v>41</v>
      </c>
      <c r="P437" s="271">
        <v>39.31</v>
      </c>
      <c r="Q437" s="271">
        <v>39.94</v>
      </c>
      <c r="R437" s="271">
        <v>39.656399999999998</v>
      </c>
      <c r="S437" s="271">
        <v>39.656399999999998</v>
      </c>
      <c r="T437" s="271">
        <v>40.548000000000002</v>
      </c>
      <c r="U437" s="271">
        <v>42.65</v>
      </c>
      <c r="V437" s="271">
        <v>41.524900000000002</v>
      </c>
      <c r="W437" s="271">
        <v>37.559899999999999</v>
      </c>
      <c r="X437" s="271">
        <v>37.81</v>
      </c>
      <c r="Y437" s="271">
        <v>38.130000000000003</v>
      </c>
      <c r="Z437" s="273">
        <f ca="1">[1]ExtEntry!$J39</f>
        <v>38.130000000000003</v>
      </c>
      <c r="AB437" s="284">
        <v>-1060.0000000000291</v>
      </c>
      <c r="AC437" s="284">
        <v>1260</v>
      </c>
      <c r="AD437" s="284">
        <v>4620</v>
      </c>
      <c r="AE437" s="284">
        <v>-7500</v>
      </c>
      <c r="AF437" s="284">
        <v>-13360</v>
      </c>
      <c r="AG437" s="284">
        <v>3720.0000000000291</v>
      </c>
      <c r="AH437" s="284">
        <v>-7410.0000000000291</v>
      </c>
      <c r="AI437" s="284">
        <v>-2020</v>
      </c>
      <c r="AJ437" s="284">
        <v>-8350.0000000000291</v>
      </c>
      <c r="AK437" s="284">
        <v>1380.0000000000146</v>
      </c>
      <c r="AL437" s="284">
        <v>-15060</v>
      </c>
      <c r="AM437" s="284">
        <v>7170.4000000000378</v>
      </c>
      <c r="AN437" s="284">
        <v>8630.0000000000291</v>
      </c>
      <c r="AO437" s="284">
        <v>460</v>
      </c>
      <c r="AP437" s="284">
        <v>-2216.0000000000146</v>
      </c>
      <c r="AQ437" s="284">
        <v>-960</v>
      </c>
      <c r="AR437" s="284">
        <v>-9860.4000000000087</v>
      </c>
      <c r="AS437" s="284">
        <v>-1040</v>
      </c>
      <c r="AT437" s="284">
        <v>-332.79999999998836</v>
      </c>
      <c r="AU437" s="284">
        <v>1196</v>
      </c>
      <c r="AV437" s="283">
        <f t="shared" ca="1" si="29"/>
        <v>1196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35.200000000000003</v>
      </c>
      <c r="G438" s="271">
        <v>35.270000000000003</v>
      </c>
      <c r="H438" s="271">
        <v>35.76</v>
      </c>
      <c r="I438" s="271">
        <v>35.68</v>
      </c>
      <c r="J438" s="271">
        <v>35.68</v>
      </c>
      <c r="K438" s="271">
        <v>35.53</v>
      </c>
      <c r="L438" s="271">
        <v>35.369999999999997</v>
      </c>
      <c r="M438" s="271">
        <v>35.49</v>
      </c>
      <c r="N438" s="271">
        <v>35.270000000000003</v>
      </c>
      <c r="O438" s="271">
        <v>35.1</v>
      </c>
      <c r="P438" s="271">
        <v>34.61</v>
      </c>
      <c r="Q438" s="271">
        <v>34.43</v>
      </c>
      <c r="R438" s="271">
        <v>34.14</v>
      </c>
      <c r="S438" s="271">
        <v>34.83</v>
      </c>
      <c r="T438" s="271">
        <v>34.950000000000003</v>
      </c>
      <c r="U438" s="271">
        <v>35.93</v>
      </c>
      <c r="V438" s="271">
        <v>35.99</v>
      </c>
      <c r="W438" s="271">
        <v>35.86</v>
      </c>
      <c r="X438" s="271">
        <v>36.020000000000003</v>
      </c>
      <c r="Y438" s="271">
        <v>36.03</v>
      </c>
      <c r="Z438" s="273">
        <f ca="1">[1]ExtEntry!$J40</f>
        <v>36.03</v>
      </c>
      <c r="AB438" s="288">
        <v>-3.9999999999997726</v>
      </c>
      <c r="AC438" s="288">
        <v>0</v>
      </c>
      <c r="AD438" s="288">
        <v>-11.999999999999773</v>
      </c>
      <c r="AE438" s="288">
        <v>3.9999999999997726</v>
      </c>
      <c r="AF438" s="288">
        <v>-3</v>
      </c>
      <c r="AG438" s="288">
        <v>4.9999999999995453</v>
      </c>
      <c r="AH438" s="288">
        <v>-9.5</v>
      </c>
      <c r="AI438" s="288">
        <v>-23.500000000000227</v>
      </c>
      <c r="AJ438" s="288">
        <v>0.5</v>
      </c>
      <c r="AK438" s="288">
        <v>-15</v>
      </c>
      <c r="AL438" s="288">
        <v>11.000000000000455</v>
      </c>
      <c r="AM438" s="288">
        <v>-35.5</v>
      </c>
      <c r="AN438" s="288">
        <v>-10.000000000000227</v>
      </c>
      <c r="AO438" s="288">
        <v>42.5</v>
      </c>
      <c r="AP438" s="288">
        <v>30.999999999999773</v>
      </c>
      <c r="AQ438" s="288">
        <v>2</v>
      </c>
      <c r="AR438" s="288">
        <v>21.5</v>
      </c>
      <c r="AS438" s="288">
        <v>11.000000000000227</v>
      </c>
      <c r="AT438" s="288">
        <v>-32.5</v>
      </c>
      <c r="AU438" s="288">
        <v>-12.5</v>
      </c>
      <c r="AV438" s="287">
        <f t="shared" ca="1" si="29"/>
        <v>-12.5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240.75</v>
      </c>
      <c r="G439" s="271">
        <v>241.3</v>
      </c>
      <c r="H439" s="271">
        <v>237.7</v>
      </c>
      <c r="I439" s="271">
        <v>238.6</v>
      </c>
      <c r="J439" s="271">
        <v>238.6</v>
      </c>
      <c r="K439" s="271">
        <v>236.2</v>
      </c>
      <c r="L439" s="271">
        <v>233.95</v>
      </c>
      <c r="M439" s="271">
        <v>235.75</v>
      </c>
      <c r="N439" s="271">
        <v>237.2</v>
      </c>
      <c r="O439" s="271">
        <v>237.85</v>
      </c>
      <c r="P439" s="271">
        <v>234.8</v>
      </c>
      <c r="Q439" s="271">
        <v>233.25</v>
      </c>
      <c r="R439" s="271">
        <v>231.8</v>
      </c>
      <c r="S439" s="271">
        <v>234.4</v>
      </c>
      <c r="T439" s="271">
        <v>233.6</v>
      </c>
      <c r="U439" s="271">
        <v>231.45</v>
      </c>
      <c r="V439" s="271">
        <v>231.15</v>
      </c>
      <c r="W439" s="271">
        <v>236.65</v>
      </c>
      <c r="X439" s="271">
        <v>222.85</v>
      </c>
      <c r="Y439" s="271">
        <v>221.8</v>
      </c>
      <c r="Z439" s="273">
        <f ca="1">[1]ExtEntry!$J41</f>
        <v>221.8</v>
      </c>
      <c r="AB439" s="284">
        <v>9504.25</v>
      </c>
      <c r="AC439" s="284">
        <v>-2650.2000000000698</v>
      </c>
      <c r="AD439" s="284">
        <v>-3525.2000000000698</v>
      </c>
      <c r="AE439" s="284">
        <v>38875</v>
      </c>
      <c r="AF439" s="284">
        <v>-8625</v>
      </c>
      <c r="AG439" s="284">
        <v>-125</v>
      </c>
      <c r="AH439" s="284">
        <v>5500</v>
      </c>
      <c r="AI439" s="284">
        <v>3125</v>
      </c>
      <c r="AJ439" s="284">
        <v>14625</v>
      </c>
      <c r="AK439" s="284">
        <v>125</v>
      </c>
      <c r="AL439" s="284">
        <v>1500</v>
      </c>
      <c r="AM439" s="284">
        <v>-14750</v>
      </c>
      <c r="AN439" s="284">
        <v>-2500</v>
      </c>
      <c r="AO439" s="284">
        <v>6250</v>
      </c>
      <c r="AP439" s="284">
        <v>-2250</v>
      </c>
      <c r="AQ439" s="284">
        <v>125</v>
      </c>
      <c r="AR439" s="284">
        <v>13000</v>
      </c>
      <c r="AS439" s="284">
        <v>-29000</v>
      </c>
      <c r="AT439" s="284">
        <v>-11750</v>
      </c>
      <c r="AU439" s="284">
        <v>5750</v>
      </c>
      <c r="AV439" s="283">
        <f t="shared" ca="1" si="29"/>
        <v>5750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16.170000000000002</v>
      </c>
      <c r="G440" s="271">
        <v>15.734999999999999</v>
      </c>
      <c r="H440" s="271">
        <v>15.69</v>
      </c>
      <c r="I440" s="271">
        <v>16.29</v>
      </c>
      <c r="J440" s="271">
        <v>16.29</v>
      </c>
      <c r="K440" s="271">
        <v>15.695</v>
      </c>
      <c r="L440" s="271">
        <v>15.8</v>
      </c>
      <c r="M440" s="271">
        <v>15.7</v>
      </c>
      <c r="N440" s="271">
        <v>15.58</v>
      </c>
      <c r="O440" s="271">
        <v>16.23</v>
      </c>
      <c r="P440" s="271">
        <v>15.37</v>
      </c>
      <c r="Q440" s="271">
        <v>15.55</v>
      </c>
      <c r="R440" s="271">
        <v>15.05</v>
      </c>
      <c r="S440" s="271">
        <v>15.13</v>
      </c>
      <c r="T440" s="271">
        <v>14.95</v>
      </c>
      <c r="U440" s="271">
        <v>15.15</v>
      </c>
      <c r="V440" s="271">
        <v>14.98</v>
      </c>
      <c r="W440" s="271">
        <v>14.99</v>
      </c>
      <c r="X440" s="271">
        <v>15.11</v>
      </c>
      <c r="Y440" s="271">
        <v>14.975</v>
      </c>
      <c r="Z440" s="273">
        <f ca="1">[1]ExtEntry!$J42</f>
        <v>14.975</v>
      </c>
      <c r="AB440" s="288">
        <v>-27025.000000000058</v>
      </c>
      <c r="AC440" s="288">
        <v>-460</v>
      </c>
      <c r="AD440" s="288">
        <v>2990</v>
      </c>
      <c r="AE440" s="288">
        <v>-15410</v>
      </c>
      <c r="AF440" s="288">
        <v>-21850</v>
      </c>
      <c r="AG440" s="288">
        <v>17135.000000000058</v>
      </c>
      <c r="AH440" s="288">
        <v>457.70000000001164</v>
      </c>
      <c r="AI440" s="288">
        <v>-9027.5</v>
      </c>
      <c r="AJ440" s="288">
        <v>18860</v>
      </c>
      <c r="AK440" s="288">
        <v>2300</v>
      </c>
      <c r="AL440" s="288">
        <v>-690</v>
      </c>
      <c r="AM440" s="288">
        <v>1152.2999999999884</v>
      </c>
      <c r="AN440" s="288">
        <v>4830</v>
      </c>
      <c r="AO440" s="288">
        <v>12935.200000000012</v>
      </c>
      <c r="AP440" s="288">
        <v>23828</v>
      </c>
      <c r="AQ440" s="288">
        <v>6095</v>
      </c>
      <c r="AR440" s="288">
        <v>-690</v>
      </c>
      <c r="AS440" s="288">
        <v>-4827.7000000000116</v>
      </c>
      <c r="AT440" s="288">
        <v>-7242.7000000000116</v>
      </c>
      <c r="AU440" s="288">
        <v>-11408</v>
      </c>
      <c r="AV440" s="287">
        <f t="shared" ca="1" si="29"/>
        <v>-11408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9.7279999999999998</v>
      </c>
      <c r="G441" s="271">
        <v>9.39</v>
      </c>
      <c r="H441" s="271">
        <v>9.4499999999999993</v>
      </c>
      <c r="I441" s="271">
        <v>10.75</v>
      </c>
      <c r="J441" s="271">
        <v>10.75</v>
      </c>
      <c r="K441" s="271">
        <v>11.08</v>
      </c>
      <c r="L441" s="271">
        <v>11.185</v>
      </c>
      <c r="M441" s="271">
        <v>11.178000000000001</v>
      </c>
      <c r="N441" s="271">
        <v>11.19</v>
      </c>
      <c r="O441" s="271">
        <v>11.15</v>
      </c>
      <c r="P441" s="271">
        <v>11.2</v>
      </c>
      <c r="Q441" s="271">
        <v>10.52</v>
      </c>
      <c r="R441" s="271">
        <v>10.4527</v>
      </c>
      <c r="S441" s="271">
        <v>10.4527</v>
      </c>
      <c r="T441" s="271">
        <v>10.19</v>
      </c>
      <c r="U441" s="271">
        <v>10.37</v>
      </c>
      <c r="V441" s="271">
        <v>10.3</v>
      </c>
      <c r="W441" s="271">
        <v>10.2766</v>
      </c>
      <c r="X441" s="271">
        <v>10.01</v>
      </c>
      <c r="Y441" s="271">
        <v>9.8787000000000003</v>
      </c>
      <c r="Z441" s="273">
        <f ca="1">[1]ExtEntry!$J43</f>
        <v>9.8787000000000003</v>
      </c>
      <c r="AB441" s="284">
        <v>-9760</v>
      </c>
      <c r="AC441" s="284">
        <v>1275.1999999999825</v>
      </c>
      <c r="AD441" s="284">
        <v>-2080</v>
      </c>
      <c r="AE441" s="284">
        <v>5760</v>
      </c>
      <c r="AF441" s="284">
        <v>7502.3999999999942</v>
      </c>
      <c r="AG441" s="284">
        <v>400</v>
      </c>
      <c r="AH441" s="284">
        <v>-2555.1999999999825</v>
      </c>
      <c r="AI441" s="284">
        <v>-160</v>
      </c>
      <c r="AJ441" s="284">
        <v>-8320</v>
      </c>
      <c r="AK441" s="284">
        <v>-10400</v>
      </c>
      <c r="AL441" s="284">
        <v>-880</v>
      </c>
      <c r="AM441" s="284">
        <v>-960</v>
      </c>
      <c r="AN441" s="284">
        <v>0</v>
      </c>
      <c r="AO441" s="284">
        <v>-1440</v>
      </c>
      <c r="AP441" s="284">
        <v>-800</v>
      </c>
      <c r="AQ441" s="284">
        <v>9760</v>
      </c>
      <c r="AR441" s="284">
        <v>960</v>
      </c>
      <c r="AS441" s="284">
        <v>-3680</v>
      </c>
      <c r="AT441" s="284">
        <v>5520</v>
      </c>
      <c r="AU441" s="284">
        <v>-800</v>
      </c>
      <c r="AV441" s="283">
        <f t="shared" ca="1" si="29"/>
        <v>-800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340.4699</v>
      </c>
      <c r="G442" s="271">
        <v>339.3</v>
      </c>
      <c r="H442" s="271">
        <v>334.26990000000001</v>
      </c>
      <c r="I442" s="271">
        <v>340.55</v>
      </c>
      <c r="J442" s="271">
        <v>340.55</v>
      </c>
      <c r="K442" s="271">
        <v>331.37</v>
      </c>
      <c r="L442" s="271">
        <v>349.53</v>
      </c>
      <c r="M442" s="271">
        <v>351.9</v>
      </c>
      <c r="N442" s="271">
        <v>355.39</v>
      </c>
      <c r="O442" s="271">
        <v>353.55</v>
      </c>
      <c r="P442" s="271">
        <v>348.74990000000003</v>
      </c>
      <c r="Q442" s="271">
        <v>333.32839999999999</v>
      </c>
      <c r="R442" s="271">
        <v>335.1</v>
      </c>
      <c r="S442" s="271">
        <v>343.33</v>
      </c>
      <c r="T442" s="271">
        <v>338.89</v>
      </c>
      <c r="U442" s="271">
        <v>358.44</v>
      </c>
      <c r="V442" s="271">
        <v>350.77</v>
      </c>
      <c r="W442" s="271">
        <v>356.33</v>
      </c>
      <c r="X442" s="271">
        <v>368.48</v>
      </c>
      <c r="Y442" s="271">
        <v>396.68990000000002</v>
      </c>
      <c r="Z442" s="273">
        <f ca="1">[1]ExtEntry!$J44</f>
        <v>396.68990000000002</v>
      </c>
      <c r="AB442" s="288">
        <v>-8.8000000000001819</v>
      </c>
      <c r="AC442" s="288">
        <v>-21</v>
      </c>
      <c r="AD442" s="288">
        <v>53.608000000000175</v>
      </c>
      <c r="AE442" s="288">
        <v>-17.767999999999574</v>
      </c>
      <c r="AF442" s="288">
        <v>-48.367999999999938</v>
      </c>
      <c r="AG442" s="288">
        <v>-9.6500000000000909</v>
      </c>
      <c r="AH442" s="288">
        <v>123.05000000000018</v>
      </c>
      <c r="AI442" s="288">
        <v>38.842000000000098</v>
      </c>
      <c r="AJ442" s="288">
        <v>35.967999999999847</v>
      </c>
      <c r="AK442" s="288">
        <v>-5.2000000000134605E-2</v>
      </c>
      <c r="AL442" s="288">
        <v>-80.400000000000091</v>
      </c>
      <c r="AM442" s="288">
        <v>-82.167999999999665</v>
      </c>
      <c r="AN442" s="288">
        <v>-103.90000000000009</v>
      </c>
      <c r="AO442" s="288">
        <v>-78.500000000000455</v>
      </c>
      <c r="AP442" s="288">
        <v>83.2199999999998</v>
      </c>
      <c r="AQ442" s="288">
        <v>51.200000000000728</v>
      </c>
      <c r="AR442" s="288">
        <v>-9.5320000000001528</v>
      </c>
      <c r="AS442" s="288">
        <v>-0.6999999999998181</v>
      </c>
      <c r="AT442" s="288">
        <v>195.20000000000073</v>
      </c>
      <c r="AU442" s="288">
        <v>226.20000000000027</v>
      </c>
      <c r="AV442" s="287">
        <f t="shared" ca="1" si="29"/>
        <v>226.20000000000027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240.61</v>
      </c>
      <c r="G443" s="271">
        <v>240.79</v>
      </c>
      <c r="H443" s="271">
        <v>242.85749999999999</v>
      </c>
      <c r="I443" s="271">
        <v>240.29</v>
      </c>
      <c r="J443" s="271">
        <v>240.29</v>
      </c>
      <c r="K443" s="271">
        <v>229.03</v>
      </c>
      <c r="L443" s="271">
        <v>237.27500000000001</v>
      </c>
      <c r="M443" s="271">
        <v>238.83</v>
      </c>
      <c r="N443" s="271">
        <v>239.4</v>
      </c>
      <c r="O443" s="271">
        <v>240.66</v>
      </c>
      <c r="P443" s="271">
        <v>235.95</v>
      </c>
      <c r="Q443" s="271">
        <v>229.34</v>
      </c>
      <c r="R443" s="271">
        <v>231.4</v>
      </c>
      <c r="S443" s="271">
        <v>232.44499999999999</v>
      </c>
      <c r="T443" s="271">
        <v>235.31</v>
      </c>
      <c r="U443" s="271">
        <v>247.88</v>
      </c>
      <c r="V443" s="271">
        <v>254.72989999999999</v>
      </c>
      <c r="W443" s="271">
        <v>264.58</v>
      </c>
      <c r="X443" s="271">
        <v>261.64</v>
      </c>
      <c r="Y443" s="271">
        <v>260.95</v>
      </c>
      <c r="Z443" s="273">
        <f ca="1">[1]ExtEntry!$J45</f>
        <v>260.95</v>
      </c>
      <c r="AB443" s="284">
        <v>16775</v>
      </c>
      <c r="AC443" s="284">
        <v>-2275.8999999999069</v>
      </c>
      <c r="AD443" s="284">
        <v>8923.75</v>
      </c>
      <c r="AE443" s="284">
        <v>-37400</v>
      </c>
      <c r="AF443" s="284">
        <v>-8250</v>
      </c>
      <c r="AG443" s="284">
        <v>-5720</v>
      </c>
      <c r="AH443" s="284">
        <v>13303.399999999907</v>
      </c>
      <c r="AI443" s="284">
        <v>6668.75</v>
      </c>
      <c r="AJ443" s="284">
        <v>47795</v>
      </c>
      <c r="AK443" s="284">
        <v>46420</v>
      </c>
      <c r="AL443" s="284">
        <v>-30635</v>
      </c>
      <c r="AM443" s="284">
        <v>-5692.5</v>
      </c>
      <c r="AN443" s="284">
        <v>-12540</v>
      </c>
      <c r="AO443" s="284">
        <v>-12512.5</v>
      </c>
      <c r="AP443" s="284">
        <v>9460</v>
      </c>
      <c r="AQ443" s="284">
        <v>55880</v>
      </c>
      <c r="AR443" s="284">
        <v>20157.5</v>
      </c>
      <c r="AS443" s="284">
        <v>13805</v>
      </c>
      <c r="AT443" s="284">
        <v>-8772.4999999997672</v>
      </c>
      <c r="AU443" s="284">
        <v>-29315.000000000233</v>
      </c>
      <c r="AV443" s="283">
        <f t="shared" ca="1" si="29"/>
        <v>-29315.000000000233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38.049999999999997</v>
      </c>
      <c r="G444" s="271">
        <v>38.200000000000003</v>
      </c>
      <c r="H444" s="271">
        <v>37.6</v>
      </c>
      <c r="I444" s="271">
        <v>38.450000000000003</v>
      </c>
      <c r="J444" s="271">
        <v>38.450000000000003</v>
      </c>
      <c r="K444" s="271">
        <v>37.65</v>
      </c>
      <c r="L444" s="271">
        <v>38.5</v>
      </c>
      <c r="M444" s="271">
        <v>38</v>
      </c>
      <c r="N444" s="271">
        <v>37.450000000000003</v>
      </c>
      <c r="O444" s="271">
        <v>37.700000000000003</v>
      </c>
      <c r="P444" s="271">
        <v>36.950000000000003</v>
      </c>
      <c r="Q444" s="271">
        <v>36.549999999999997</v>
      </c>
      <c r="R444" s="271">
        <v>36.15</v>
      </c>
      <c r="S444" s="271">
        <v>36.049999999999997</v>
      </c>
      <c r="T444" s="271">
        <v>36.6</v>
      </c>
      <c r="U444" s="271">
        <v>35.65</v>
      </c>
      <c r="V444" s="271">
        <v>35.65</v>
      </c>
      <c r="W444" s="271">
        <v>36.700000000000003</v>
      </c>
      <c r="X444" s="271">
        <v>37.049999999999997</v>
      </c>
      <c r="Y444" s="271">
        <v>36.25</v>
      </c>
      <c r="Z444" s="273">
        <f ca="1">[1]ExtEntry!$J46</f>
        <v>36.25</v>
      </c>
      <c r="AB444" s="288">
        <v>-2549.9999999999709</v>
      </c>
      <c r="AC444" s="288">
        <v>1200.0000000000291</v>
      </c>
      <c r="AD444" s="288">
        <v>-900.00000000001455</v>
      </c>
      <c r="AE444" s="288">
        <v>-10350</v>
      </c>
      <c r="AF444" s="288">
        <v>2250</v>
      </c>
      <c r="AG444" s="288">
        <v>900</v>
      </c>
      <c r="AH444" s="288">
        <v>1499.9999999999709</v>
      </c>
      <c r="AI444" s="288">
        <v>-299.99999999998545</v>
      </c>
      <c r="AJ444" s="288">
        <v>-150</v>
      </c>
      <c r="AK444" s="288">
        <v>750</v>
      </c>
      <c r="AL444" s="288">
        <v>-1500.0000000000437</v>
      </c>
      <c r="AM444" s="288">
        <v>-6000.0000000000146</v>
      </c>
      <c r="AN444" s="288">
        <v>-2700</v>
      </c>
      <c r="AO444" s="288">
        <v>-300</v>
      </c>
      <c r="AP444" s="288">
        <v>1050</v>
      </c>
      <c r="AQ444" s="288">
        <v>300.00000000004366</v>
      </c>
      <c r="AR444" s="288">
        <v>3000</v>
      </c>
      <c r="AS444" s="288">
        <v>899.99999999998545</v>
      </c>
      <c r="AT444" s="288">
        <v>-4349.9999999999854</v>
      </c>
      <c r="AU444" s="288">
        <v>1200</v>
      </c>
      <c r="AV444" s="287">
        <f t="shared" ca="1" si="29"/>
        <v>1200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6.65</v>
      </c>
      <c r="G445" s="271">
        <v>6.44</v>
      </c>
      <c r="H445" s="271">
        <v>6.36</v>
      </c>
      <c r="I445" s="271">
        <v>6.37</v>
      </c>
      <c r="J445" s="271">
        <v>6.37</v>
      </c>
      <c r="K445" s="271">
        <v>6.28</v>
      </c>
      <c r="L445" s="271">
        <v>6.75</v>
      </c>
      <c r="M445" s="271">
        <v>6.62</v>
      </c>
      <c r="N445" s="271">
        <v>6.66</v>
      </c>
      <c r="O445" s="271">
        <v>6.9</v>
      </c>
      <c r="P445" s="271">
        <v>6.59</v>
      </c>
      <c r="Q445" s="271">
        <v>6.27</v>
      </c>
      <c r="R445" s="271">
        <v>5.9898999999999996</v>
      </c>
      <c r="S445" s="271">
        <v>6.05</v>
      </c>
      <c r="T445" s="271">
        <v>6.27</v>
      </c>
      <c r="U445" s="271">
        <v>7.48</v>
      </c>
      <c r="V445" s="271">
        <v>7.3049999999999997</v>
      </c>
      <c r="W445" s="271">
        <v>7.47</v>
      </c>
      <c r="X445" s="271">
        <v>7.1950000000000003</v>
      </c>
      <c r="Y445" s="271">
        <v>7.13</v>
      </c>
      <c r="Z445" s="273">
        <f ca="1">[1]ExtEntry!$J47</f>
        <v>7.13</v>
      </c>
      <c r="AB445" s="284">
        <v>1928.8499999999913</v>
      </c>
      <c r="AC445" s="284">
        <v>-2252.9250000000029</v>
      </c>
      <c r="AD445" s="284">
        <v>-1529.4250000000029</v>
      </c>
      <c r="AE445" s="284">
        <v>-1953.4499999999971</v>
      </c>
      <c r="AF445" s="284">
        <v>-180.87499999999272</v>
      </c>
      <c r="AG445" s="284">
        <v>-289.40000000000146</v>
      </c>
      <c r="AH445" s="284">
        <v>614.97500000000582</v>
      </c>
      <c r="AI445" s="284">
        <v>2713.1250000000073</v>
      </c>
      <c r="AJ445" s="284">
        <v>1302.2999999999956</v>
      </c>
      <c r="AK445" s="284">
        <v>1374.6500000000015</v>
      </c>
      <c r="AL445" s="284">
        <v>-1157.5999999999985</v>
      </c>
      <c r="AM445" s="284">
        <v>-253.22500000000582</v>
      </c>
      <c r="AN445" s="284">
        <v>3002.5250000000015</v>
      </c>
      <c r="AO445" s="284">
        <v>506.44999999999709</v>
      </c>
      <c r="AP445" s="284">
        <v>289.39999999999418</v>
      </c>
      <c r="AQ445" s="284">
        <v>15934.704999999994</v>
      </c>
      <c r="AR445" s="284">
        <v>-506.39500000000407</v>
      </c>
      <c r="AS445" s="284">
        <v>-5209.1050000000032</v>
      </c>
      <c r="AT445" s="284">
        <v>2694.9049999999916</v>
      </c>
      <c r="AU445" s="284">
        <v>-4557.9599999999846</v>
      </c>
      <c r="AV445" s="283">
        <f t="shared" ca="1" si="29"/>
        <v>-4557.9599999999846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314.16000000000003</v>
      </c>
      <c r="G446" s="271">
        <v>311.5</v>
      </c>
      <c r="H446" s="271">
        <v>306.17</v>
      </c>
      <c r="I446" s="271">
        <v>302.8999</v>
      </c>
      <c r="J446" s="271">
        <v>302.8999</v>
      </c>
      <c r="K446" s="271">
        <v>295.49</v>
      </c>
      <c r="L446" s="271">
        <v>298.40159999999997</v>
      </c>
      <c r="M446" s="271">
        <v>300.24990000000003</v>
      </c>
      <c r="N446" s="271">
        <v>301.18</v>
      </c>
      <c r="O446" s="271">
        <v>309.87</v>
      </c>
      <c r="P446" s="271">
        <v>307.01</v>
      </c>
      <c r="Q446" s="271">
        <v>296.471</v>
      </c>
      <c r="R446" s="271">
        <v>302.46690000000001</v>
      </c>
      <c r="S446" s="271">
        <v>304.45</v>
      </c>
      <c r="T446" s="271">
        <v>308.77999999999997</v>
      </c>
      <c r="U446" s="271">
        <v>354.16559999999998</v>
      </c>
      <c r="V446" s="271">
        <v>350.98</v>
      </c>
      <c r="W446" s="271">
        <v>372.97</v>
      </c>
      <c r="X446" s="271">
        <v>374.23</v>
      </c>
      <c r="Y446" s="271">
        <v>364.38499999999999</v>
      </c>
      <c r="Z446" s="273">
        <f ca="1">[1]ExtEntry!$J48</f>
        <v>364.38499999999999</v>
      </c>
      <c r="AB446" s="288">
        <v>-224.00000000001455</v>
      </c>
      <c r="AC446" s="288">
        <v>-2007.7749999999942</v>
      </c>
      <c r="AD446" s="288">
        <v>137.90000000002328</v>
      </c>
      <c r="AE446" s="288">
        <v>-5017.2500000000146</v>
      </c>
      <c r="AF446" s="288">
        <v>978.25</v>
      </c>
      <c r="AG446" s="288">
        <v>-2246.9999999999854</v>
      </c>
      <c r="AH446" s="288">
        <v>2558.5</v>
      </c>
      <c r="AI446" s="288">
        <v>1196.824999999968</v>
      </c>
      <c r="AJ446" s="288">
        <v>3824.6600000000035</v>
      </c>
      <c r="AK446" s="288">
        <v>4929.75</v>
      </c>
      <c r="AL446" s="288">
        <v>-1865.5</v>
      </c>
      <c r="AM446" s="288">
        <v>1610.0350000000035</v>
      </c>
      <c r="AN446" s="288">
        <v>-1494.5</v>
      </c>
      <c r="AO446" s="288">
        <v>-1245.9999999999854</v>
      </c>
      <c r="AP446" s="288">
        <v>-1711.4999999999854</v>
      </c>
      <c r="AQ446" s="288">
        <v>4381.9999999999854</v>
      </c>
      <c r="AR446" s="288">
        <v>-6613.2850000000035</v>
      </c>
      <c r="AS446" s="288">
        <v>7315</v>
      </c>
      <c r="AT446" s="288">
        <v>-4112.5</v>
      </c>
      <c r="AU446" s="288">
        <v>-1428.0000000000291</v>
      </c>
      <c r="AV446" s="287">
        <f t="shared" ca="1" si="29"/>
        <v>-1428.0000000000291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30.465</v>
      </c>
      <c r="G447" s="271">
        <v>30.73</v>
      </c>
      <c r="H447" s="271">
        <v>30.33</v>
      </c>
      <c r="I447" s="271">
        <v>30.994499999999999</v>
      </c>
      <c r="J447" s="271">
        <v>30.994499999999999</v>
      </c>
      <c r="K447" s="271">
        <v>31</v>
      </c>
      <c r="L447" s="271">
        <v>31.362500000000001</v>
      </c>
      <c r="M447" s="271">
        <v>30.965</v>
      </c>
      <c r="N447" s="271">
        <v>30.61</v>
      </c>
      <c r="O447" s="271">
        <v>30.82</v>
      </c>
      <c r="P447" s="271">
        <v>30.76</v>
      </c>
      <c r="Q447" s="271">
        <v>29.8</v>
      </c>
      <c r="R447" s="271">
        <v>29.37</v>
      </c>
      <c r="S447" s="271">
        <v>29.5</v>
      </c>
      <c r="T447" s="271">
        <v>29.25</v>
      </c>
      <c r="U447" s="271">
        <v>29.38</v>
      </c>
      <c r="V447" s="271">
        <v>29.24</v>
      </c>
      <c r="W447" s="271">
        <v>29.2879</v>
      </c>
      <c r="X447" s="271">
        <v>29.55</v>
      </c>
      <c r="Y447" s="271">
        <v>29.4</v>
      </c>
      <c r="Z447" s="273">
        <f ca="1">[1]ExtEntry!$J49</f>
        <v>29.4</v>
      </c>
      <c r="AB447" s="284">
        <v>60</v>
      </c>
      <c r="AC447" s="284">
        <v>-82.5</v>
      </c>
      <c r="AD447" s="284">
        <v>-198</v>
      </c>
      <c r="AE447" s="284">
        <v>-536.25</v>
      </c>
      <c r="AF447" s="284">
        <v>41.25</v>
      </c>
      <c r="AG447" s="284">
        <v>37.5</v>
      </c>
      <c r="AH447" s="284">
        <v>-625.5</v>
      </c>
      <c r="AI447" s="284">
        <v>333</v>
      </c>
      <c r="AJ447" s="284">
        <v>33.75</v>
      </c>
      <c r="AK447" s="284">
        <v>-153.75</v>
      </c>
      <c r="AL447" s="284">
        <v>-46.5</v>
      </c>
      <c r="AM447" s="284">
        <v>423</v>
      </c>
      <c r="AN447" s="284">
        <v>606</v>
      </c>
      <c r="AO447" s="284">
        <v>-165</v>
      </c>
      <c r="AP447" s="284">
        <v>217.5</v>
      </c>
      <c r="AQ447" s="284">
        <v>361.5</v>
      </c>
      <c r="AR447" s="284">
        <v>394.5</v>
      </c>
      <c r="AS447" s="284">
        <v>57</v>
      </c>
      <c r="AT447" s="284">
        <v>697.5</v>
      </c>
      <c r="AU447" s="284">
        <v>-174.15000000000146</v>
      </c>
      <c r="AV447" s="283">
        <f t="shared" ca="1" si="29"/>
        <v>-174.15000000000146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60.6</v>
      </c>
      <c r="G448" s="271">
        <v>60.6</v>
      </c>
      <c r="H448" s="271">
        <v>61</v>
      </c>
      <c r="I448" s="271">
        <v>61.3</v>
      </c>
      <c r="J448" s="271">
        <v>61.3</v>
      </c>
      <c r="K448" s="271">
        <v>61.4</v>
      </c>
      <c r="L448" s="271">
        <v>61.9</v>
      </c>
      <c r="M448" s="271">
        <v>61.5</v>
      </c>
      <c r="N448" s="271">
        <v>61.6</v>
      </c>
      <c r="O448" s="271">
        <v>61.8</v>
      </c>
      <c r="P448" s="271">
        <v>61.3</v>
      </c>
      <c r="Q448" s="271">
        <v>61.2</v>
      </c>
      <c r="R448" s="271">
        <v>60.9</v>
      </c>
      <c r="S448" s="271">
        <v>61.8</v>
      </c>
      <c r="T448" s="271">
        <v>62.1</v>
      </c>
      <c r="U448" s="271">
        <v>61.9</v>
      </c>
      <c r="V448" s="271">
        <v>62</v>
      </c>
      <c r="W448" s="271">
        <v>62.2</v>
      </c>
      <c r="X448" s="271">
        <v>62.2</v>
      </c>
      <c r="Y448" s="271">
        <v>61.9</v>
      </c>
      <c r="Z448" s="273">
        <f ca="1">[1]ExtEntry!$J50</f>
        <v>61.9</v>
      </c>
      <c r="AB448" s="288">
        <v>-200</v>
      </c>
      <c r="AC448" s="288">
        <v>-9808</v>
      </c>
      <c r="AD448" s="288">
        <v>1400</v>
      </c>
      <c r="AE448" s="288">
        <v>5604</v>
      </c>
      <c r="AF448" s="288">
        <v>5604</v>
      </c>
      <c r="AG448" s="288">
        <v>-7005</v>
      </c>
      <c r="AH448" s="288">
        <v>0</v>
      </c>
      <c r="AI448" s="288">
        <v>-7005</v>
      </c>
      <c r="AJ448" s="288">
        <v>0</v>
      </c>
      <c r="AK448" s="288">
        <v>-8406</v>
      </c>
      <c r="AL448" s="288">
        <v>9807</v>
      </c>
      <c r="AM448" s="288">
        <v>-9807</v>
      </c>
      <c r="AN448" s="288">
        <v>1401</v>
      </c>
      <c r="AO448" s="288">
        <v>18213</v>
      </c>
      <c r="AP448" s="288">
        <v>10602</v>
      </c>
      <c r="AQ448" s="288">
        <v>2499</v>
      </c>
      <c r="AR448" s="288">
        <v>9908</v>
      </c>
      <c r="AS448" s="288">
        <v>-3900</v>
      </c>
      <c r="AT448" s="288">
        <v>-27515</v>
      </c>
      <c r="AU448" s="288">
        <v>-11700</v>
      </c>
      <c r="AV448" s="287">
        <f t="shared" ca="1" si="29"/>
        <v>-11700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10.6173</v>
      </c>
      <c r="G449" s="271">
        <v>10.81</v>
      </c>
      <c r="H449" s="271">
        <v>10.81</v>
      </c>
      <c r="I449" s="271">
        <v>10.78</v>
      </c>
      <c r="J449" s="271">
        <v>10.78</v>
      </c>
      <c r="K449" s="271">
        <v>10.815</v>
      </c>
      <c r="L449" s="271">
        <v>10.65</v>
      </c>
      <c r="M449" s="271">
        <v>10.55</v>
      </c>
      <c r="N449" s="271">
        <v>10.4854</v>
      </c>
      <c r="O449" s="271">
        <v>10.43</v>
      </c>
      <c r="P449" s="271">
        <v>10.57</v>
      </c>
      <c r="Q449" s="271">
        <v>10.59</v>
      </c>
      <c r="R449" s="271">
        <v>10.61</v>
      </c>
      <c r="S449" s="271">
        <v>10.61</v>
      </c>
      <c r="T449" s="271">
        <v>10.535</v>
      </c>
      <c r="U449" s="271">
        <v>10.5099</v>
      </c>
      <c r="V449" s="271">
        <v>10.55</v>
      </c>
      <c r="W449" s="271">
        <v>10.41</v>
      </c>
      <c r="X449" s="271">
        <v>10.3757</v>
      </c>
      <c r="Y449" s="271">
        <v>10.185</v>
      </c>
      <c r="Z449" s="273">
        <f ca="1">[1]ExtEntry!$J51</f>
        <v>10.185</v>
      </c>
      <c r="AB449" s="284">
        <v>950</v>
      </c>
      <c r="AC449" s="284">
        <v>-1750</v>
      </c>
      <c r="AD449" s="284">
        <v>1050.0000000000146</v>
      </c>
      <c r="AE449" s="284">
        <v>-2549.9999999999854</v>
      </c>
      <c r="AF449" s="284">
        <v>-1959</v>
      </c>
      <c r="AG449" s="284">
        <v>-2300</v>
      </c>
      <c r="AH449" s="284">
        <v>1550</v>
      </c>
      <c r="AI449" s="284">
        <v>-1650.0000000000146</v>
      </c>
      <c r="AJ449" s="284">
        <v>550</v>
      </c>
      <c r="AK449" s="284">
        <v>-350.5</v>
      </c>
      <c r="AL449" s="284">
        <v>1200</v>
      </c>
      <c r="AM449" s="284">
        <v>100</v>
      </c>
      <c r="AN449" s="284">
        <v>325</v>
      </c>
      <c r="AO449" s="284">
        <v>750</v>
      </c>
      <c r="AP449" s="284">
        <v>-99.5</v>
      </c>
      <c r="AQ449" s="284">
        <v>-600.00000000000728</v>
      </c>
      <c r="AR449" s="284">
        <v>200</v>
      </c>
      <c r="AS449" s="284">
        <v>-925</v>
      </c>
      <c r="AT449" s="284">
        <v>-750</v>
      </c>
      <c r="AU449" s="284">
        <v>250.00000000000728</v>
      </c>
      <c r="AV449" s="283">
        <f t="shared" ca="1" si="29"/>
        <v>250.00000000000728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11.97</v>
      </c>
      <c r="G450" s="271">
        <v>12.08</v>
      </c>
      <c r="H450" s="271">
        <v>12.01</v>
      </c>
      <c r="I450" s="271">
        <v>12.06</v>
      </c>
      <c r="J450" s="271">
        <v>12.06</v>
      </c>
      <c r="K450" s="271">
        <v>12.22</v>
      </c>
      <c r="L450" s="271">
        <v>12.175000000000001</v>
      </c>
      <c r="M450" s="271">
        <v>11.994999999999999</v>
      </c>
      <c r="N450" s="271">
        <v>12.11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135</v>
      </c>
      <c r="AC450" s="288">
        <v>-31.80000000000291</v>
      </c>
      <c r="AD450" s="288">
        <v>120</v>
      </c>
      <c r="AE450" s="288">
        <v>285</v>
      </c>
      <c r="AF450" s="288">
        <v>180</v>
      </c>
      <c r="AG450" s="288">
        <v>195</v>
      </c>
      <c r="AH450" s="288">
        <v>-313.19999999999709</v>
      </c>
      <c r="AI450" s="288">
        <v>-195</v>
      </c>
      <c r="AJ450" s="288">
        <v>0</v>
      </c>
      <c r="AK450" s="288">
        <v>0</v>
      </c>
      <c r="AL450" s="288">
        <v>-285</v>
      </c>
      <c r="AM450" s="288">
        <v>525</v>
      </c>
      <c r="AN450" s="288">
        <v>525</v>
      </c>
      <c r="AO450" s="288">
        <v>255</v>
      </c>
      <c r="AP450" s="288">
        <v>0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107.55</v>
      </c>
      <c r="G451" s="271">
        <v>107.16</v>
      </c>
      <c r="H451" s="271">
        <v>106.88500000000001</v>
      </c>
      <c r="I451" s="271">
        <v>107.325</v>
      </c>
      <c r="J451" s="271">
        <v>107.325</v>
      </c>
      <c r="K451" s="271">
        <v>109.33</v>
      </c>
      <c r="L451" s="271">
        <v>111.92</v>
      </c>
      <c r="M451" s="271">
        <v>111.81</v>
      </c>
      <c r="N451" s="271">
        <v>112.98</v>
      </c>
      <c r="O451" s="271">
        <v>113.06</v>
      </c>
      <c r="P451" s="271">
        <v>114.79</v>
      </c>
      <c r="Q451" s="271">
        <v>114.85</v>
      </c>
      <c r="R451" s="271">
        <v>114.43</v>
      </c>
      <c r="S451" s="271">
        <v>114.43</v>
      </c>
      <c r="T451" s="271">
        <v>113.125</v>
      </c>
      <c r="U451" s="271">
        <v>110.045</v>
      </c>
      <c r="V451" s="271">
        <v>112.51</v>
      </c>
      <c r="W451" s="271">
        <v>112.56</v>
      </c>
      <c r="X451" s="271">
        <v>112.765</v>
      </c>
      <c r="Y451" s="271">
        <v>113.22</v>
      </c>
      <c r="Z451" s="273">
        <f ca="1">[1]ExtEntry!$J53</f>
        <v>113.22</v>
      </c>
      <c r="AB451" s="284">
        <v>385.40000000000146</v>
      </c>
      <c r="AC451" s="284">
        <v>129.39999999999782</v>
      </c>
      <c r="AD451" s="284">
        <v>30.399999999997817</v>
      </c>
      <c r="AE451" s="284">
        <v>245</v>
      </c>
      <c r="AF451" s="284">
        <v>132</v>
      </c>
      <c r="AG451" s="284">
        <v>294</v>
      </c>
      <c r="AH451" s="284">
        <v>-1</v>
      </c>
      <c r="AI451" s="284">
        <v>-39</v>
      </c>
      <c r="AJ451" s="284">
        <v>59</v>
      </c>
      <c r="AK451" s="284">
        <v>-205</v>
      </c>
      <c r="AL451" s="284">
        <v>-19</v>
      </c>
      <c r="AM451" s="284">
        <v>-115</v>
      </c>
      <c r="AN451" s="284">
        <v>-473</v>
      </c>
      <c r="AO451" s="284">
        <v>-444</v>
      </c>
      <c r="AP451" s="284">
        <v>63</v>
      </c>
      <c r="AQ451" s="284">
        <v>-81</v>
      </c>
      <c r="AR451" s="284">
        <v>-24</v>
      </c>
      <c r="AS451" s="284">
        <v>580</v>
      </c>
      <c r="AT451" s="284">
        <v>566</v>
      </c>
      <c r="AU451" s="284">
        <v>-193</v>
      </c>
      <c r="AV451" s="283">
        <f t="shared" ca="1" si="29"/>
        <v>-193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6.165</v>
      </c>
      <c r="G452" s="271">
        <v>5.94</v>
      </c>
      <c r="H452" s="271">
        <v>6.05</v>
      </c>
      <c r="I452" s="271">
        <v>6.33</v>
      </c>
      <c r="J452" s="271">
        <v>6.33</v>
      </c>
      <c r="K452" s="271">
        <v>6.16</v>
      </c>
      <c r="L452" s="271">
        <v>6.48</v>
      </c>
      <c r="M452" s="271">
        <v>6.24</v>
      </c>
      <c r="N452" s="271">
        <v>6.09</v>
      </c>
      <c r="O452" s="271">
        <v>6.085</v>
      </c>
      <c r="P452" s="271">
        <v>6.08</v>
      </c>
      <c r="Q452" s="271">
        <v>5.99</v>
      </c>
      <c r="R452" s="271">
        <v>5.98</v>
      </c>
      <c r="S452" s="271">
        <v>5.98</v>
      </c>
      <c r="T452" s="271">
        <v>6.04</v>
      </c>
      <c r="U452" s="271">
        <v>6.1802999999999999</v>
      </c>
      <c r="V452" s="271">
        <v>6.125</v>
      </c>
      <c r="W452" s="271">
        <v>6.09</v>
      </c>
      <c r="X452" s="271">
        <v>6.0860000000000003</v>
      </c>
      <c r="Y452" s="271">
        <v>6.0759999999999996</v>
      </c>
      <c r="Z452" s="273">
        <f ca="1">[1]ExtEntry!$J54</f>
        <v>6.0759999999999996</v>
      </c>
      <c r="AB452" s="288">
        <v>-1500.0000000000036</v>
      </c>
      <c r="AC452" s="288">
        <v>-450</v>
      </c>
      <c r="AD452" s="288">
        <v>600</v>
      </c>
      <c r="AE452" s="288">
        <v>-475</v>
      </c>
      <c r="AF452" s="288">
        <v>-200.00000000000364</v>
      </c>
      <c r="AG452" s="288">
        <v>1050</v>
      </c>
      <c r="AH452" s="288">
        <v>550</v>
      </c>
      <c r="AI452" s="288">
        <v>-1550</v>
      </c>
      <c r="AJ452" s="288">
        <v>575.00000000000364</v>
      </c>
      <c r="AK452" s="288">
        <v>-45</v>
      </c>
      <c r="AL452" s="288">
        <v>250.00000000000364</v>
      </c>
      <c r="AM452" s="288">
        <v>-474.99999999999636</v>
      </c>
      <c r="AN452" s="288">
        <v>300</v>
      </c>
      <c r="AO452" s="288">
        <v>1050</v>
      </c>
      <c r="AP452" s="288">
        <v>620</v>
      </c>
      <c r="AQ452" s="288">
        <v>199.99999999999636</v>
      </c>
      <c r="AR452" s="288">
        <v>-125.00000000000364</v>
      </c>
      <c r="AS452" s="288">
        <v>-699.99999999999636</v>
      </c>
      <c r="AT452" s="288">
        <v>274.99999999999636</v>
      </c>
      <c r="AU452" s="288">
        <v>-599.99999999999272</v>
      </c>
      <c r="AV452" s="287">
        <f t="shared" ca="1" si="29"/>
        <v>-599.99999999999272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0.95799999999999996</v>
      </c>
      <c r="J453" s="271">
        <v>0.95799999999999996</v>
      </c>
      <c r="K453" s="271">
        <v>0.94</v>
      </c>
      <c r="L453" s="271">
        <v>0.93799999999999994</v>
      </c>
      <c r="M453" s="271">
        <v>0.92800000000000005</v>
      </c>
      <c r="N453" s="271">
        <v>0.91800000000000004</v>
      </c>
      <c r="O453" s="271">
        <v>0.91800000000000004</v>
      </c>
      <c r="P453" s="271">
        <v>0.94</v>
      </c>
      <c r="Q453" s="271">
        <v>0.92</v>
      </c>
      <c r="R453" s="271">
        <v>0.92800000000000005</v>
      </c>
      <c r="S453" s="271">
        <v>0.91800000000000004</v>
      </c>
      <c r="T453" s="271">
        <v>0.89200000000000002</v>
      </c>
      <c r="U453" s="271">
        <v>0.90800000000000003</v>
      </c>
      <c r="V453" s="271">
        <v>0.90600000000000003</v>
      </c>
      <c r="W453" s="271">
        <v>0.91</v>
      </c>
      <c r="X453" s="271">
        <v>0.88800000000000001</v>
      </c>
      <c r="Y453" s="271">
        <v>0.89</v>
      </c>
      <c r="Z453" s="273">
        <f ca="1">[1]ExtEntry!$J55</f>
        <v>0.89</v>
      </c>
      <c r="AB453" s="284">
        <v>11110</v>
      </c>
      <c r="AC453" s="284">
        <v>-15150</v>
      </c>
      <c r="AD453" s="284">
        <v>-5050</v>
      </c>
      <c r="AE453" s="284">
        <v>-27270</v>
      </c>
      <c r="AF453" s="284">
        <v>-6060</v>
      </c>
      <c r="AG453" s="284">
        <v>0</v>
      </c>
      <c r="AH453" s="284">
        <v>4040</v>
      </c>
      <c r="AI453" s="284">
        <v>0</v>
      </c>
      <c r="AJ453" s="284">
        <v>9090</v>
      </c>
      <c r="AK453" s="284">
        <v>5050</v>
      </c>
      <c r="AL453" s="284">
        <v>-15150</v>
      </c>
      <c r="AM453" s="284">
        <v>1010</v>
      </c>
      <c r="AN453" s="284">
        <v>15150</v>
      </c>
      <c r="AO453" s="284">
        <v>-9090</v>
      </c>
      <c r="AP453" s="284">
        <v>0</v>
      </c>
      <c r="AQ453" s="284">
        <v>9090</v>
      </c>
      <c r="AR453" s="284">
        <v>11110</v>
      </c>
      <c r="AS453" s="284">
        <v>-10100</v>
      </c>
      <c r="AT453" s="284">
        <v>22220</v>
      </c>
      <c r="AU453" s="284">
        <v>1010</v>
      </c>
      <c r="AV453" s="283">
        <f t="shared" ca="1" si="29"/>
        <v>1010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2.2732000000000001</v>
      </c>
      <c r="G454" s="271">
        <v>2.1549999999999998</v>
      </c>
      <c r="H454" s="271">
        <v>2.0499999999999998</v>
      </c>
      <c r="I454" s="271">
        <v>2.12</v>
      </c>
      <c r="J454" s="271">
        <v>2.12</v>
      </c>
      <c r="K454" s="271">
        <v>1.99</v>
      </c>
      <c r="L454" s="271">
        <v>2.2050000000000001</v>
      </c>
      <c r="M454" s="271">
        <v>2.2599999999999998</v>
      </c>
      <c r="N454" s="271">
        <v>2.6949999999999998</v>
      </c>
      <c r="O454" s="271">
        <v>2.57</v>
      </c>
      <c r="P454" s="271">
        <v>2.4300000000000002</v>
      </c>
      <c r="Q454" s="271">
        <v>2.2991000000000001</v>
      </c>
      <c r="R454" s="271">
        <v>2.1800000000000002</v>
      </c>
      <c r="S454" s="271">
        <v>2.1800000000000002</v>
      </c>
      <c r="T454" s="271">
        <v>2.09</v>
      </c>
      <c r="U454" s="271">
        <v>2.17</v>
      </c>
      <c r="V454" s="271">
        <v>2.17</v>
      </c>
      <c r="W454" s="271">
        <v>2.2000000000000002</v>
      </c>
      <c r="X454" s="271">
        <v>2.36</v>
      </c>
      <c r="Y454" s="271">
        <v>2.3199999999999998</v>
      </c>
      <c r="Z454" s="273">
        <f ca="1">[1]ExtEntry!$J56</f>
        <v>2.3199999999999998</v>
      </c>
      <c r="AB454" s="288">
        <v>-1900</v>
      </c>
      <c r="AC454" s="288">
        <v>-199</v>
      </c>
      <c r="AD454" s="288">
        <v>-150.00000000000364</v>
      </c>
      <c r="AE454" s="288">
        <v>-4800</v>
      </c>
      <c r="AF454" s="288">
        <v>600</v>
      </c>
      <c r="AG454" s="288">
        <v>2200</v>
      </c>
      <c r="AH454" s="288">
        <v>1149</v>
      </c>
      <c r="AI454" s="288">
        <v>-99.999999999996362</v>
      </c>
      <c r="AJ454" s="288">
        <v>4200</v>
      </c>
      <c r="AK454" s="288">
        <v>-408</v>
      </c>
      <c r="AL454" s="288">
        <v>-1400</v>
      </c>
      <c r="AM454" s="288">
        <v>-1399.9999999999964</v>
      </c>
      <c r="AN454" s="288">
        <v>-1347</v>
      </c>
      <c r="AO454" s="288">
        <v>-950</v>
      </c>
      <c r="AP454" s="288">
        <v>1258</v>
      </c>
      <c r="AQ454" s="288">
        <v>1500</v>
      </c>
      <c r="AR454" s="288">
        <v>49.999999999996362</v>
      </c>
      <c r="AS454" s="288">
        <v>497</v>
      </c>
      <c r="AT454" s="288">
        <v>2649.9999999999964</v>
      </c>
      <c r="AU454" s="288">
        <v>-450</v>
      </c>
      <c r="AV454" s="287">
        <f t="shared" ca="1" si="29"/>
        <v>-450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26.87</v>
      </c>
      <c r="G455" s="271">
        <v>27.09</v>
      </c>
      <c r="H455" s="271">
        <v>27</v>
      </c>
      <c r="I455" s="271">
        <v>27.21</v>
      </c>
      <c r="J455" s="271">
        <v>27.21</v>
      </c>
      <c r="K455" s="271">
        <v>27.34</v>
      </c>
      <c r="L455" s="271">
        <v>27.16</v>
      </c>
      <c r="M455" s="271">
        <v>26.74</v>
      </c>
      <c r="N455" s="271">
        <v>26.86</v>
      </c>
      <c r="O455" s="271">
        <v>27.13</v>
      </c>
      <c r="P455" s="271">
        <v>26.84</v>
      </c>
      <c r="Q455" s="271">
        <v>26.66</v>
      </c>
      <c r="R455" s="271">
        <v>26.67</v>
      </c>
      <c r="S455" s="271">
        <v>26.65</v>
      </c>
      <c r="T455" s="271">
        <v>26.97</v>
      </c>
      <c r="U455" s="271">
        <v>27.39</v>
      </c>
      <c r="V455" s="271">
        <v>28.22</v>
      </c>
      <c r="W455" s="271">
        <v>28.1</v>
      </c>
      <c r="X455" s="271">
        <v>27.71</v>
      </c>
      <c r="Y455" s="271">
        <v>27.76</v>
      </c>
      <c r="Z455" s="273">
        <f ca="1">[1]ExtEntry!$J57</f>
        <v>27.76</v>
      </c>
      <c r="AB455" s="284">
        <v>6960</v>
      </c>
      <c r="AC455" s="284">
        <v>3600</v>
      </c>
      <c r="AD455" s="284">
        <v>-3240</v>
      </c>
      <c r="AE455" s="284">
        <v>10560</v>
      </c>
      <c r="AF455" s="284">
        <v>240</v>
      </c>
      <c r="AG455" s="284">
        <v>7200</v>
      </c>
      <c r="AH455" s="284">
        <v>-8400</v>
      </c>
      <c r="AI455" s="284">
        <v>-120</v>
      </c>
      <c r="AJ455" s="284">
        <v>2760</v>
      </c>
      <c r="AK455" s="284">
        <v>-960</v>
      </c>
      <c r="AL455" s="284">
        <v>-4680</v>
      </c>
      <c r="AM455" s="284">
        <v>2280</v>
      </c>
      <c r="AN455" s="284">
        <v>4920</v>
      </c>
      <c r="AO455" s="284">
        <v>3240</v>
      </c>
      <c r="AP455" s="284">
        <v>-1320</v>
      </c>
      <c r="AQ455" s="284">
        <v>4680</v>
      </c>
      <c r="AR455" s="284">
        <v>6840</v>
      </c>
      <c r="AS455" s="284">
        <v>-5520</v>
      </c>
      <c r="AT455" s="284">
        <v>-720</v>
      </c>
      <c r="AU455" s="284">
        <v>1560</v>
      </c>
      <c r="AV455" s="283">
        <f t="shared" ca="1" si="29"/>
        <v>1560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16.085000000000001</v>
      </c>
      <c r="G456" s="271">
        <v>16.03</v>
      </c>
      <c r="H456" s="271">
        <v>15.965</v>
      </c>
      <c r="I456" s="271">
        <v>15.865</v>
      </c>
      <c r="J456" s="271">
        <v>15.865</v>
      </c>
      <c r="K456" s="271">
        <v>15.805</v>
      </c>
      <c r="L456" s="271">
        <v>15.425000000000001</v>
      </c>
      <c r="M456" s="271">
        <v>15.64</v>
      </c>
      <c r="N456" s="271">
        <v>15.72</v>
      </c>
      <c r="O456" s="271">
        <v>15.75</v>
      </c>
      <c r="P456" s="271">
        <v>15.29</v>
      </c>
      <c r="Q456" s="271">
        <v>15.04</v>
      </c>
      <c r="R456" s="271">
        <v>14.744999999999999</v>
      </c>
      <c r="S456" s="271">
        <v>15.11</v>
      </c>
      <c r="T456" s="271">
        <v>15.045</v>
      </c>
      <c r="U456" s="271">
        <v>15.4</v>
      </c>
      <c r="V456" s="271">
        <v>15.465</v>
      </c>
      <c r="W456" s="271">
        <v>15.4</v>
      </c>
      <c r="X456" s="271">
        <v>15.435</v>
      </c>
      <c r="Y456" s="271">
        <v>15.6</v>
      </c>
      <c r="Z456" s="273">
        <f ca="1">[1]ExtEntry!$J58</f>
        <v>15.6</v>
      </c>
      <c r="AB456" s="288">
        <v>-0.85000000000002274</v>
      </c>
      <c r="AC456" s="288">
        <v>-5.3000000000000398</v>
      </c>
      <c r="AD456" s="288">
        <v>-5.3000000000000114</v>
      </c>
      <c r="AE456" s="288">
        <v>0.80000000000001137</v>
      </c>
      <c r="AF456" s="288">
        <v>-3.9499999999999886</v>
      </c>
      <c r="AG456" s="288">
        <v>-1.3499999999999659</v>
      </c>
      <c r="AH456" s="288">
        <v>2</v>
      </c>
      <c r="AI456" s="288">
        <v>1.8499999999999943</v>
      </c>
      <c r="AJ456" s="288">
        <v>1.3000000000000114</v>
      </c>
      <c r="AK456" s="288">
        <v>-1.0999999999999943</v>
      </c>
      <c r="AL456" s="288">
        <v>-5.0000000000011369E-2</v>
      </c>
      <c r="AM456" s="288">
        <v>-3.6499999999999773</v>
      </c>
      <c r="AN456" s="288">
        <v>-0.99999999999994316</v>
      </c>
      <c r="AO456" s="288">
        <v>1.5</v>
      </c>
      <c r="AP456" s="288">
        <v>3.3999999999999773</v>
      </c>
      <c r="AQ456" s="288">
        <v>2.7000000000000171</v>
      </c>
      <c r="AR456" s="288">
        <v>2.8499999999999943</v>
      </c>
      <c r="AS456" s="288">
        <v>1.3999999999999773</v>
      </c>
      <c r="AT456" s="288">
        <v>-2.2000000000000171</v>
      </c>
      <c r="AU456" s="288">
        <v>0.45000000000001705</v>
      </c>
      <c r="AV456" s="287">
        <f t="shared" ca="1" si="29"/>
        <v>0.45000000000001705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14.986000000000001</v>
      </c>
      <c r="G457" s="271">
        <v>14.986000000000001</v>
      </c>
      <c r="H457" s="271">
        <v>15.084</v>
      </c>
      <c r="I457" s="271">
        <v>15.023999999999999</v>
      </c>
      <c r="J457" s="271">
        <v>15.023999999999999</v>
      </c>
      <c r="K457" s="271">
        <v>15.112</v>
      </c>
      <c r="L457" s="271">
        <v>15.276</v>
      </c>
      <c r="M457" s="271">
        <v>15.292</v>
      </c>
      <c r="N457" s="271">
        <v>15.278</v>
      </c>
      <c r="O457" s="271">
        <v>15.257999999999999</v>
      </c>
      <c r="P457" s="271">
        <v>15.39</v>
      </c>
      <c r="Q457" s="271">
        <v>15.276</v>
      </c>
      <c r="R457" s="271">
        <v>15.262</v>
      </c>
      <c r="S457" s="271">
        <v>14.93</v>
      </c>
      <c r="T457" s="271">
        <v>14.99</v>
      </c>
      <c r="U457" s="271">
        <v>14.78</v>
      </c>
      <c r="V457" s="271">
        <v>15.016</v>
      </c>
      <c r="W457" s="271">
        <v>14.965999999999999</v>
      </c>
      <c r="X457" s="271">
        <v>15.102</v>
      </c>
      <c r="Y457" s="271">
        <v>14.994</v>
      </c>
      <c r="Z457" s="273">
        <f ca="1">[1]ExtEntry!$J59</f>
        <v>14.994</v>
      </c>
      <c r="AB457" s="284">
        <v>5680</v>
      </c>
      <c r="AC457" s="284">
        <v>-880</v>
      </c>
      <c r="AD457" s="284">
        <v>-5760</v>
      </c>
      <c r="AE457" s="284">
        <v>-1840</v>
      </c>
      <c r="AF457" s="284">
        <v>-160</v>
      </c>
      <c r="AG457" s="284">
        <v>3440</v>
      </c>
      <c r="AH457" s="284">
        <v>-640</v>
      </c>
      <c r="AI457" s="284">
        <v>1680</v>
      </c>
      <c r="AJ457" s="284">
        <v>-1520</v>
      </c>
      <c r="AK457" s="284">
        <v>-4400</v>
      </c>
      <c r="AL457" s="284">
        <v>-1920</v>
      </c>
      <c r="AM457" s="284">
        <v>-4400</v>
      </c>
      <c r="AN457" s="284">
        <v>-12160</v>
      </c>
      <c r="AO457" s="284">
        <v>5840</v>
      </c>
      <c r="AP457" s="284">
        <v>-1520</v>
      </c>
      <c r="AQ457" s="284">
        <v>-3680</v>
      </c>
      <c r="AR457" s="284">
        <v>12640</v>
      </c>
      <c r="AS457" s="284">
        <v>13440</v>
      </c>
      <c r="AT457" s="284">
        <v>-7440</v>
      </c>
      <c r="AU457" s="284">
        <v>5520</v>
      </c>
      <c r="AV457" s="283">
        <f t="shared" ca="1" si="29"/>
        <v>5520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1.93</v>
      </c>
      <c r="L458" s="271">
        <v>0.82499999999999996</v>
      </c>
      <c r="M458" s="271">
        <v>0.2797</v>
      </c>
      <c r="N458" s="271">
        <v>0.25</v>
      </c>
      <c r="O458" s="271">
        <v>0.24</v>
      </c>
      <c r="P458" s="271">
        <v>0.25769999999999998</v>
      </c>
      <c r="Q458" s="271">
        <v>0.24990000000000001</v>
      </c>
      <c r="R458" s="271">
        <v>0.23599999999999999</v>
      </c>
      <c r="S458" s="271">
        <v>0.24160000000000001</v>
      </c>
      <c r="T458" s="271">
        <v>0.23799999999999999</v>
      </c>
      <c r="U458" s="271">
        <v>0.2399</v>
      </c>
      <c r="V458" s="271">
        <v>0.245</v>
      </c>
      <c r="W458" s="271">
        <v>0.23499999999999999</v>
      </c>
      <c r="X458" s="271">
        <v>0.2107</v>
      </c>
      <c r="Y458" s="271">
        <v>0.21099999999999999</v>
      </c>
      <c r="Z458" s="273">
        <f ca="1">[1]ExtEntry!$J60</f>
        <v>0.21099999999999999</v>
      </c>
      <c r="AB458" s="288">
        <v>-120</v>
      </c>
      <c r="AC458" s="288">
        <v>-63.599999999998545</v>
      </c>
      <c r="AD458" s="288">
        <v>-60</v>
      </c>
      <c r="AE458" s="288">
        <v>0</v>
      </c>
      <c r="AF458" s="288">
        <v>60</v>
      </c>
      <c r="AG458" s="288">
        <v>240</v>
      </c>
      <c r="AH458" s="288">
        <v>541.19999999999709</v>
      </c>
      <c r="AI458" s="288">
        <v>18</v>
      </c>
      <c r="AJ458" s="288">
        <v>-148.79999999999973</v>
      </c>
      <c r="AK458" s="288">
        <v>-27.599999999999909</v>
      </c>
      <c r="AL458" s="288">
        <v>6</v>
      </c>
      <c r="AM458" s="288">
        <v>-476.39999999999827</v>
      </c>
      <c r="AN458" s="288">
        <v>-442.79999999999836</v>
      </c>
      <c r="AO458" s="288">
        <v>94.800000000000182</v>
      </c>
      <c r="AP458" s="288">
        <v>-78</v>
      </c>
      <c r="AQ458" s="288">
        <v>-77.999999999999545</v>
      </c>
      <c r="AR458" s="288">
        <v>86.399999999999636</v>
      </c>
      <c r="AS458" s="288">
        <v>-394.80000000000018</v>
      </c>
      <c r="AT458" s="288">
        <v>-121.20000000000027</v>
      </c>
      <c r="AU458" s="288">
        <v>-111.59999999999991</v>
      </c>
      <c r="AV458" s="287">
        <f t="shared" ca="1" si="29"/>
        <v>-111.59999999999991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58.6</v>
      </c>
      <c r="G459" s="271">
        <v>59.42</v>
      </c>
      <c r="H459" s="271">
        <v>58.72</v>
      </c>
      <c r="I459" s="271">
        <v>58.56</v>
      </c>
      <c r="J459" s="271">
        <v>58.56</v>
      </c>
      <c r="K459" s="271">
        <v>58.24</v>
      </c>
      <c r="L459" s="271">
        <v>58.16</v>
      </c>
      <c r="M459" s="271">
        <v>53.82</v>
      </c>
      <c r="N459" s="271">
        <v>52.4</v>
      </c>
      <c r="O459" s="271">
        <v>52.78</v>
      </c>
      <c r="P459" s="271">
        <v>53.7</v>
      </c>
      <c r="Q459" s="271">
        <v>53.48</v>
      </c>
      <c r="R459" s="271">
        <v>52.84</v>
      </c>
      <c r="S459" s="271">
        <v>53.74</v>
      </c>
      <c r="T459" s="271">
        <v>54.4</v>
      </c>
      <c r="U459" s="271">
        <v>53.78</v>
      </c>
      <c r="V459" s="271">
        <v>54.36</v>
      </c>
      <c r="W459" s="271">
        <v>56.06</v>
      </c>
      <c r="X459" s="271">
        <v>57.86</v>
      </c>
      <c r="Y459" s="271">
        <v>57.92</v>
      </c>
      <c r="Z459" s="273">
        <f ca="1">[1]ExtEntry!$J61</f>
        <v>57.92</v>
      </c>
      <c r="AB459" s="284">
        <v>23.200000000000045</v>
      </c>
      <c r="AC459" s="284">
        <v>-445.79999999999995</v>
      </c>
      <c r="AD459" s="284">
        <v>-1205.8</v>
      </c>
      <c r="AE459" s="284">
        <v>633.6</v>
      </c>
      <c r="AF459" s="284">
        <v>645.19999999999993</v>
      </c>
      <c r="AG459" s="284">
        <v>-1248</v>
      </c>
      <c r="AH459" s="284">
        <v>-3240</v>
      </c>
      <c r="AI459" s="284">
        <v>-800</v>
      </c>
      <c r="AJ459" s="284">
        <v>-880</v>
      </c>
      <c r="AK459" s="284">
        <v>-40</v>
      </c>
      <c r="AL459" s="284">
        <v>1200</v>
      </c>
      <c r="AM459" s="284">
        <v>1680</v>
      </c>
      <c r="AN459" s="284">
        <v>4160</v>
      </c>
      <c r="AO459" s="284">
        <v>3480</v>
      </c>
      <c r="AP459" s="284">
        <v>-1440</v>
      </c>
      <c r="AQ459" s="284">
        <v>1040</v>
      </c>
      <c r="AR459" s="284">
        <v>3000</v>
      </c>
      <c r="AS459" s="284">
        <v>2080</v>
      </c>
      <c r="AT459" s="284">
        <v>1360</v>
      </c>
      <c r="AU459" s="284">
        <v>-240</v>
      </c>
      <c r="AV459" s="283">
        <f t="shared" ca="1" si="29"/>
        <v>-240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14.41</v>
      </c>
      <c r="G460" s="271">
        <v>14.465</v>
      </c>
      <c r="H460" s="271">
        <v>14.56</v>
      </c>
      <c r="I460" s="271">
        <v>14.525</v>
      </c>
      <c r="J460" s="271">
        <v>14.525</v>
      </c>
      <c r="K460" s="271">
        <v>14.535</v>
      </c>
      <c r="L460" s="271">
        <v>14.43</v>
      </c>
      <c r="M460" s="271">
        <v>14.1</v>
      </c>
      <c r="N460" s="271">
        <v>13.904999999999999</v>
      </c>
      <c r="O460" s="271">
        <v>13.93</v>
      </c>
      <c r="P460" s="271">
        <v>13.97</v>
      </c>
      <c r="Q460" s="271">
        <v>13.845000000000001</v>
      </c>
      <c r="R460" s="271">
        <v>13.77</v>
      </c>
      <c r="S460" s="271">
        <v>13.68</v>
      </c>
      <c r="T460" s="271">
        <v>13.75</v>
      </c>
      <c r="U460" s="271">
        <v>13.615</v>
      </c>
      <c r="V460" s="271">
        <v>13.69</v>
      </c>
      <c r="W460" s="271">
        <v>13.73</v>
      </c>
      <c r="X460" s="271">
        <v>13.914999999999999</v>
      </c>
      <c r="Y460" s="271">
        <v>13.95</v>
      </c>
      <c r="Z460" s="273">
        <f ca="1">[1]ExtEntry!$J62</f>
        <v>13.95</v>
      </c>
      <c r="AB460" s="288">
        <v>-6000</v>
      </c>
      <c r="AC460" s="288">
        <v>1820</v>
      </c>
      <c r="AD460" s="288">
        <v>1130</v>
      </c>
      <c r="AE460" s="288">
        <v>-2105</v>
      </c>
      <c r="AF460" s="288">
        <v>-7605</v>
      </c>
      <c r="AG460" s="288">
        <v>-30</v>
      </c>
      <c r="AH460" s="288">
        <v>-4830</v>
      </c>
      <c r="AI460" s="288">
        <v>-4255</v>
      </c>
      <c r="AJ460" s="288">
        <v>2760</v>
      </c>
      <c r="AK460" s="288">
        <v>-575</v>
      </c>
      <c r="AL460" s="288">
        <v>-3910</v>
      </c>
      <c r="AM460" s="288">
        <v>2875</v>
      </c>
      <c r="AN460" s="288">
        <v>-710</v>
      </c>
      <c r="AO460" s="288">
        <v>7805</v>
      </c>
      <c r="AP460" s="288">
        <v>3260</v>
      </c>
      <c r="AQ460" s="288">
        <v>-50</v>
      </c>
      <c r="AR460" s="288">
        <v>3660</v>
      </c>
      <c r="AS460" s="288">
        <v>6300</v>
      </c>
      <c r="AT460" s="288">
        <v>420</v>
      </c>
      <c r="AU460" s="288">
        <v>-525</v>
      </c>
      <c r="AV460" s="287">
        <f t="shared" ca="1" si="29"/>
        <v>-525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35.200000000000003</v>
      </c>
      <c r="G461" s="271">
        <v>35.270000000000003</v>
      </c>
      <c r="H461" s="271">
        <v>35.76</v>
      </c>
      <c r="I461" s="271">
        <v>35.68</v>
      </c>
      <c r="J461" s="271">
        <v>35.68</v>
      </c>
      <c r="K461" s="271">
        <v>35.53</v>
      </c>
      <c r="L461" s="271">
        <v>35.369999999999997</v>
      </c>
      <c r="M461" s="271">
        <v>35.49</v>
      </c>
      <c r="N461" s="271">
        <v>35.270000000000003</v>
      </c>
      <c r="O461" s="271">
        <v>35.1</v>
      </c>
      <c r="P461" s="271">
        <v>34.61</v>
      </c>
      <c r="Q461" s="271">
        <v>34.43</v>
      </c>
      <c r="R461" s="271">
        <v>34.14</v>
      </c>
      <c r="S461" s="271">
        <v>34.83</v>
      </c>
      <c r="T461" s="271">
        <v>34.950000000000003</v>
      </c>
      <c r="U461" s="271">
        <v>35.93</v>
      </c>
      <c r="V461" s="271">
        <v>35.99</v>
      </c>
      <c r="W461" s="271">
        <v>35.86</v>
      </c>
      <c r="X461" s="271">
        <v>36.020000000000003</v>
      </c>
      <c r="Y461" s="271">
        <v>36.03</v>
      </c>
      <c r="Z461" s="273">
        <f ca="1">[1]ExtEntry!$J63</f>
        <v>36.03</v>
      </c>
      <c r="AB461" s="284">
        <v>-7.9999999999998295E-2</v>
      </c>
      <c r="AC461" s="284">
        <v>0</v>
      </c>
      <c r="AD461" s="284">
        <v>-0.23999999999999488</v>
      </c>
      <c r="AE461" s="284">
        <v>7.9999999999991189E-2</v>
      </c>
      <c r="AF461" s="284">
        <v>-6.0000000000002274E-2</v>
      </c>
      <c r="AG461" s="284">
        <v>9.9999999999994316E-2</v>
      </c>
      <c r="AH461" s="284">
        <v>-0.18999999999999773</v>
      </c>
      <c r="AI461" s="284">
        <v>-0.47000000000000597</v>
      </c>
      <c r="AJ461" s="284">
        <v>1.0000000000005116E-2</v>
      </c>
      <c r="AK461" s="284">
        <v>-0.29999999999999716</v>
      </c>
      <c r="AL461" s="284">
        <v>0.22000000000000597</v>
      </c>
      <c r="AM461" s="284">
        <v>-0.71000000000000085</v>
      </c>
      <c r="AN461" s="284">
        <v>-0.20000000000000284</v>
      </c>
      <c r="AO461" s="284">
        <v>0.85000000000000142</v>
      </c>
      <c r="AP461" s="284">
        <v>0.61999999999999744</v>
      </c>
      <c r="AQ461" s="284">
        <v>3.9999999999999147E-2</v>
      </c>
      <c r="AR461" s="284">
        <v>0.42999999999999972</v>
      </c>
      <c r="AS461" s="284">
        <v>0.21999999999999886</v>
      </c>
      <c r="AT461" s="284">
        <v>-0.64999999999999858</v>
      </c>
      <c r="AU461" s="284">
        <v>-0.25</v>
      </c>
      <c r="AV461" s="283">
        <f t="shared" ca="1" si="29"/>
        <v>-0.25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240.75</v>
      </c>
      <c r="G462" s="271">
        <v>241.3</v>
      </c>
      <c r="H462" s="271">
        <v>237.7</v>
      </c>
      <c r="I462" s="271">
        <v>238.6</v>
      </c>
      <c r="J462" s="271">
        <v>238.6</v>
      </c>
      <c r="K462" s="271">
        <v>236.2</v>
      </c>
      <c r="L462" s="271">
        <v>233.95</v>
      </c>
      <c r="M462" s="271">
        <v>235.75</v>
      </c>
      <c r="N462" s="271">
        <v>237.2</v>
      </c>
      <c r="O462" s="271">
        <v>237.85</v>
      </c>
      <c r="P462" s="271">
        <v>234.8</v>
      </c>
      <c r="Q462" s="271">
        <v>233.25</v>
      </c>
      <c r="R462" s="271">
        <v>231.8</v>
      </c>
      <c r="S462" s="271">
        <v>234.4</v>
      </c>
      <c r="T462" s="271">
        <v>233.6</v>
      </c>
      <c r="U462" s="271">
        <v>231.45</v>
      </c>
      <c r="V462" s="271">
        <v>231.15</v>
      </c>
      <c r="W462" s="271">
        <v>236.65</v>
      </c>
      <c r="X462" s="271">
        <v>222.85</v>
      </c>
      <c r="Y462" s="271">
        <v>221.8</v>
      </c>
      <c r="Z462" s="273">
        <f ca="1">[1]ExtEntry!$J64</f>
        <v>221.8</v>
      </c>
      <c r="AB462" s="288">
        <v>1864.6500000000087</v>
      </c>
      <c r="AC462" s="288">
        <v>-441.10000000000582</v>
      </c>
      <c r="AD462" s="288">
        <v>-581.45000000001164</v>
      </c>
      <c r="AE462" s="288">
        <v>6235.5500000000175</v>
      </c>
      <c r="AF462" s="288">
        <v>-1383.4499999999825</v>
      </c>
      <c r="AG462" s="288">
        <v>-20.050000000017462</v>
      </c>
      <c r="AH462" s="288">
        <v>882.19999999999709</v>
      </c>
      <c r="AI462" s="288">
        <v>501.25</v>
      </c>
      <c r="AJ462" s="288">
        <v>2345.8499999999913</v>
      </c>
      <c r="AK462" s="288">
        <v>20.049999999973807</v>
      </c>
      <c r="AL462" s="288">
        <v>240.60000000000582</v>
      </c>
      <c r="AM462" s="288">
        <v>-2365.9000000000087</v>
      </c>
      <c r="AN462" s="288">
        <v>-401.00000000001455</v>
      </c>
      <c r="AO462" s="288">
        <v>1002.5</v>
      </c>
      <c r="AP462" s="288">
        <v>-360.90000000000873</v>
      </c>
      <c r="AQ462" s="288">
        <v>20.05000000000291</v>
      </c>
      <c r="AR462" s="288">
        <v>2085.2000000000116</v>
      </c>
      <c r="AS462" s="288">
        <v>-4651.5999999999913</v>
      </c>
      <c r="AT462" s="288">
        <v>-1884.6999999999971</v>
      </c>
      <c r="AU462" s="288">
        <v>922.30000000001746</v>
      </c>
      <c r="AV462" s="287">
        <f t="shared" ca="1" si="29"/>
        <v>922.30000000001746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38.049999999999997</v>
      </c>
      <c r="G463" s="271">
        <v>38.200000000000003</v>
      </c>
      <c r="H463" s="271">
        <v>37.6</v>
      </c>
      <c r="I463" s="271">
        <v>38.450000000000003</v>
      </c>
      <c r="J463" s="271">
        <v>38.450000000000003</v>
      </c>
      <c r="K463" s="271">
        <v>37.65</v>
      </c>
      <c r="L463" s="271">
        <v>38.5</v>
      </c>
      <c r="M463" s="271">
        <v>38</v>
      </c>
      <c r="N463" s="271">
        <v>37.450000000000003</v>
      </c>
      <c r="O463" s="271">
        <v>37.700000000000003</v>
      </c>
      <c r="P463" s="271">
        <v>36.950000000000003</v>
      </c>
      <c r="Q463" s="271">
        <v>36.549999999999997</v>
      </c>
      <c r="R463" s="271">
        <v>36.15</v>
      </c>
      <c r="S463" s="271">
        <v>36.049999999999997</v>
      </c>
      <c r="T463" s="271">
        <v>36.6</v>
      </c>
      <c r="U463" s="271">
        <v>35.65</v>
      </c>
      <c r="V463" s="271">
        <v>35.65</v>
      </c>
      <c r="W463" s="271">
        <v>36.700000000000003</v>
      </c>
      <c r="X463" s="271">
        <v>37.049999999999997</v>
      </c>
      <c r="Y463" s="271">
        <v>36.25</v>
      </c>
      <c r="Z463" s="273">
        <f ca="1">[1]ExtEntry!$J65</f>
        <v>36.25</v>
      </c>
      <c r="AB463" s="284">
        <v>-476</v>
      </c>
      <c r="AC463" s="284">
        <v>224</v>
      </c>
      <c r="AD463" s="284">
        <v>-168</v>
      </c>
      <c r="AE463" s="284">
        <v>-1932</v>
      </c>
      <c r="AF463" s="284">
        <v>420</v>
      </c>
      <c r="AG463" s="284">
        <v>168</v>
      </c>
      <c r="AH463" s="284">
        <v>280</v>
      </c>
      <c r="AI463" s="284">
        <v>-56</v>
      </c>
      <c r="AJ463" s="284">
        <v>-28</v>
      </c>
      <c r="AK463" s="284">
        <v>140</v>
      </c>
      <c r="AL463" s="284">
        <v>-280</v>
      </c>
      <c r="AM463" s="284">
        <v>-1120</v>
      </c>
      <c r="AN463" s="284">
        <v>-504</v>
      </c>
      <c r="AO463" s="284">
        <v>-56</v>
      </c>
      <c r="AP463" s="284">
        <v>196</v>
      </c>
      <c r="AQ463" s="284">
        <v>56</v>
      </c>
      <c r="AR463" s="284">
        <v>560</v>
      </c>
      <c r="AS463" s="284">
        <v>168</v>
      </c>
      <c r="AT463" s="284">
        <v>-812</v>
      </c>
      <c r="AU463" s="284">
        <v>224</v>
      </c>
      <c r="AV463" s="283">
        <f t="shared" ca="1" si="29"/>
        <v>224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235.11</v>
      </c>
      <c r="G464" s="271">
        <v>234.22139999999999</v>
      </c>
      <c r="H464" s="271">
        <v>233.12</v>
      </c>
      <c r="I464" s="271">
        <v>232.86500000000001</v>
      </c>
      <c r="J464" s="271">
        <v>232.86500000000001</v>
      </c>
      <c r="K464" s="271">
        <v>230.47</v>
      </c>
      <c r="L464" s="271">
        <v>229.3</v>
      </c>
      <c r="M464" s="271">
        <v>229.49</v>
      </c>
      <c r="N464" s="271">
        <v>230.9</v>
      </c>
      <c r="O464" s="271">
        <v>231.9</v>
      </c>
      <c r="P464" s="271">
        <v>233.38</v>
      </c>
      <c r="Q464" s="271">
        <v>230.78</v>
      </c>
      <c r="R464" s="271">
        <v>237.97</v>
      </c>
      <c r="S464" s="271">
        <v>238.85</v>
      </c>
      <c r="T464" s="271">
        <v>239.8999</v>
      </c>
      <c r="U464" s="271">
        <v>240.15</v>
      </c>
      <c r="V464" s="271">
        <v>238.78049999999999</v>
      </c>
      <c r="W464" s="271">
        <v>232.42</v>
      </c>
      <c r="X464" s="271">
        <v>230.45</v>
      </c>
      <c r="Y464" s="271">
        <v>234.51</v>
      </c>
      <c r="Z464" s="273">
        <f ca="1">[1]ExtEntry!$J66</f>
        <v>234.51</v>
      </c>
      <c r="AB464" s="288">
        <v>5095.9199999999837</v>
      </c>
      <c r="AC464" s="288">
        <v>-1980</v>
      </c>
      <c r="AD464" s="288">
        <v>-356</v>
      </c>
      <c r="AE464" s="288">
        <v>-2304</v>
      </c>
      <c r="AF464" s="288">
        <v>-2088</v>
      </c>
      <c r="AG464" s="288">
        <v>-1616</v>
      </c>
      <c r="AH464" s="288">
        <v>2736</v>
      </c>
      <c r="AI464" s="288">
        <v>2520</v>
      </c>
      <c r="AJ464" s="288">
        <v>2448</v>
      </c>
      <c r="AK464" s="288">
        <v>1415.9200000000128</v>
      </c>
      <c r="AL464" s="288">
        <v>2880</v>
      </c>
      <c r="AM464" s="288">
        <v>-2072.1600000000035</v>
      </c>
      <c r="AN464" s="288">
        <v>-1283.679999999993</v>
      </c>
      <c r="AO464" s="288">
        <v>-944</v>
      </c>
      <c r="AP464" s="288">
        <v>592.07999999998719</v>
      </c>
      <c r="AQ464" s="288">
        <v>-840</v>
      </c>
      <c r="AR464" s="288">
        <v>-591.83999999999651</v>
      </c>
      <c r="AS464" s="288">
        <v>-3576.320000000007</v>
      </c>
      <c r="AT464" s="288">
        <v>819.5</v>
      </c>
      <c r="AU464" s="288">
        <v>1361</v>
      </c>
      <c r="AV464" s="287">
        <f t="shared" ca="1" si="29"/>
        <v>1361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231.63</v>
      </c>
      <c r="G465" s="271">
        <v>234.08</v>
      </c>
      <c r="H465" s="271">
        <v>230.91</v>
      </c>
      <c r="I465" s="271">
        <v>230.5283</v>
      </c>
      <c r="J465" s="271">
        <v>230.5283</v>
      </c>
      <c r="K465" s="271">
        <v>227.27</v>
      </c>
      <c r="L465" s="271">
        <v>229.6</v>
      </c>
      <c r="M465" s="271">
        <v>229</v>
      </c>
      <c r="N465" s="271">
        <v>229.87</v>
      </c>
      <c r="O465" s="271">
        <v>232.5471</v>
      </c>
      <c r="P465" s="271">
        <v>231.8125</v>
      </c>
      <c r="Q465" s="271">
        <v>225.41</v>
      </c>
      <c r="R465" s="271">
        <v>227.16990000000001</v>
      </c>
      <c r="S465" s="271">
        <v>227.16990000000001</v>
      </c>
      <c r="T465" s="271">
        <v>235.77</v>
      </c>
      <c r="U465" s="271">
        <v>237.6</v>
      </c>
      <c r="V465" s="271">
        <v>238.85</v>
      </c>
      <c r="W465" s="271">
        <v>237.68</v>
      </c>
      <c r="X465" s="271">
        <v>231.53</v>
      </c>
      <c r="Y465" s="271">
        <v>230.79</v>
      </c>
      <c r="Z465" s="273">
        <f ca="1">[1]ExtEntry!$J67</f>
        <v>230.79</v>
      </c>
      <c r="AB465" s="284">
        <v>11636.400000000023</v>
      </c>
      <c r="AC465" s="284">
        <v>-200</v>
      </c>
      <c r="AD465" s="284">
        <v>1800</v>
      </c>
      <c r="AE465" s="284">
        <v>-3500</v>
      </c>
      <c r="AF465" s="284">
        <v>-9810</v>
      </c>
      <c r="AG465" s="284">
        <v>-14106.400000000023</v>
      </c>
      <c r="AH465" s="284">
        <v>3020</v>
      </c>
      <c r="AI465" s="284">
        <v>3040</v>
      </c>
      <c r="AJ465" s="284">
        <v>6140</v>
      </c>
      <c r="AK465" s="284">
        <v>11634.200000000012</v>
      </c>
      <c r="AL465" s="284">
        <v>1980</v>
      </c>
      <c r="AM465" s="284">
        <v>-3414.2000000000116</v>
      </c>
      <c r="AN465" s="284">
        <v>300</v>
      </c>
      <c r="AO465" s="284">
        <v>-1640</v>
      </c>
      <c r="AP465" s="284">
        <v>2395.7999999999884</v>
      </c>
      <c r="AQ465" s="284">
        <v>6440</v>
      </c>
      <c r="AR465" s="284">
        <v>6004.2000000000116</v>
      </c>
      <c r="AS465" s="284">
        <v>-15850</v>
      </c>
      <c r="AT465" s="284">
        <v>-3870</v>
      </c>
      <c r="AU465" s="284">
        <v>-13390</v>
      </c>
      <c r="AV465" s="283">
        <f t="shared" ref="AV465:AV493" ca="1" si="31">AV366-AP366</f>
        <v>-13390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646.5</v>
      </c>
      <c r="G466" s="271">
        <v>639.79999999999995</v>
      </c>
      <c r="H466" s="271">
        <v>638</v>
      </c>
      <c r="I466" s="271">
        <v>647.5</v>
      </c>
      <c r="J466" s="271">
        <v>647.5</v>
      </c>
      <c r="K466" s="271">
        <v>652.20000000000005</v>
      </c>
      <c r="L466" s="271">
        <v>648.9</v>
      </c>
      <c r="M466" s="271">
        <v>655.5</v>
      </c>
      <c r="N466" s="271">
        <v>661.1</v>
      </c>
      <c r="O466" s="271">
        <v>663.4</v>
      </c>
      <c r="P466" s="271">
        <v>638.79999999999995</v>
      </c>
      <c r="Q466" s="271">
        <v>632.29999999999995</v>
      </c>
      <c r="R466" s="271">
        <v>633.79999999999995</v>
      </c>
      <c r="S466" s="271">
        <v>634.1</v>
      </c>
      <c r="T466" s="271">
        <v>666.3</v>
      </c>
      <c r="U466" s="271">
        <v>677.3</v>
      </c>
      <c r="V466" s="271">
        <v>683.7</v>
      </c>
      <c r="W466" s="271">
        <v>692.1</v>
      </c>
      <c r="X466" s="271">
        <v>689.2</v>
      </c>
      <c r="Y466" s="271">
        <v>692.1</v>
      </c>
      <c r="Z466" s="273">
        <f ca="1">[1]ExtEntry!$J68</f>
        <v>692.1</v>
      </c>
      <c r="AB466" s="288">
        <v>1965.6000000000058</v>
      </c>
      <c r="AC466" s="288">
        <v>-163.79999999998836</v>
      </c>
      <c r="AD466" s="288">
        <v>-304.20000000001164</v>
      </c>
      <c r="AE466" s="288">
        <v>-2082.6000000000058</v>
      </c>
      <c r="AF466" s="288">
        <v>-1029.6000000000058</v>
      </c>
      <c r="AG466" s="288">
        <v>702</v>
      </c>
      <c r="AH466" s="288">
        <v>-655.19999999998254</v>
      </c>
      <c r="AI466" s="288">
        <v>46.800000000017462</v>
      </c>
      <c r="AJ466" s="288">
        <v>1731.6000000000349</v>
      </c>
      <c r="AK466" s="288">
        <v>-1380.5999999999767</v>
      </c>
      <c r="AL466" s="288">
        <v>2246.3999999999651</v>
      </c>
      <c r="AM466" s="288">
        <v>-2854.8000000000175</v>
      </c>
      <c r="AN466" s="288">
        <v>93.599999999976717</v>
      </c>
      <c r="AO466" s="288">
        <v>678.60000000000582</v>
      </c>
      <c r="AP466" s="288">
        <v>1760.3999999999942</v>
      </c>
      <c r="AQ466" s="288">
        <v>-460.80000000000291</v>
      </c>
      <c r="AR466" s="288">
        <v>3618.0000000000146</v>
      </c>
      <c r="AS466" s="288">
        <v>-1886.3999999999942</v>
      </c>
      <c r="AT466" s="288">
        <v>-9.0000000000145519</v>
      </c>
      <c r="AU466" s="288">
        <v>-126.00000000001455</v>
      </c>
      <c r="AV466" s="287">
        <f t="shared" ca="1" si="31"/>
        <v>-126.00000000001455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2.2732000000000001</v>
      </c>
      <c r="G467" s="271">
        <v>2.1549999999999998</v>
      </c>
      <c r="H467" s="271">
        <v>2.0499999999999998</v>
      </c>
      <c r="I467" s="271">
        <v>2.12</v>
      </c>
      <c r="J467" s="271">
        <v>2.12</v>
      </c>
      <c r="K467" s="271">
        <v>1.99</v>
      </c>
      <c r="L467" s="271">
        <v>2.2050000000000001</v>
      </c>
      <c r="M467" s="271">
        <v>2.2599999999999998</v>
      </c>
      <c r="N467" s="271">
        <v>2.6949999999999998</v>
      </c>
      <c r="O467" s="271">
        <v>2.57</v>
      </c>
      <c r="P467" s="271">
        <v>2.4300000000000002</v>
      </c>
      <c r="Q467" s="271">
        <v>2.2991000000000001</v>
      </c>
      <c r="R467" s="271">
        <v>2.1800000000000002</v>
      </c>
      <c r="S467" s="271">
        <v>2.1800000000000002</v>
      </c>
      <c r="T467" s="271">
        <v>2.09</v>
      </c>
      <c r="U467" s="271">
        <v>2.17</v>
      </c>
      <c r="V467" s="271">
        <v>2.17</v>
      </c>
      <c r="W467" s="271">
        <v>2.2000000000000002</v>
      </c>
      <c r="X467" s="271">
        <v>2.36</v>
      </c>
      <c r="Y467" s="271">
        <v>2.3199999999999998</v>
      </c>
      <c r="Z467" s="273">
        <f ca="1">[1]ExtEntry!$J69</f>
        <v>2.3199999999999998</v>
      </c>
      <c r="AB467" s="284">
        <v>-22990</v>
      </c>
      <c r="AC467" s="284">
        <v>-2407.8999999999942</v>
      </c>
      <c r="AD467" s="284">
        <v>-1815.0000000000582</v>
      </c>
      <c r="AE467" s="284">
        <v>-58079.999999999971</v>
      </c>
      <c r="AF467" s="284">
        <v>7260.0000000000291</v>
      </c>
      <c r="AG467" s="284">
        <v>26620</v>
      </c>
      <c r="AH467" s="284">
        <v>13902.900000000023</v>
      </c>
      <c r="AI467" s="284">
        <v>-1209.9999999999418</v>
      </c>
      <c r="AJ467" s="284">
        <v>50819.999999999971</v>
      </c>
      <c r="AK467" s="284">
        <v>-4936.8000000000175</v>
      </c>
      <c r="AL467" s="284">
        <v>-16940</v>
      </c>
      <c r="AM467" s="284">
        <v>-16940.000000000029</v>
      </c>
      <c r="AN467" s="284">
        <v>-16298.700000000041</v>
      </c>
      <c r="AO467" s="284">
        <v>-11495.000000000029</v>
      </c>
      <c r="AP467" s="284">
        <v>15221.799999999988</v>
      </c>
      <c r="AQ467" s="284">
        <v>18150</v>
      </c>
      <c r="AR467" s="284">
        <v>605</v>
      </c>
      <c r="AS467" s="284">
        <v>6013.7000000000116</v>
      </c>
      <c r="AT467" s="284">
        <v>32065</v>
      </c>
      <c r="AU467" s="284">
        <v>-5445</v>
      </c>
      <c r="AV467" s="283">
        <f t="shared" ca="1" si="31"/>
        <v>-5445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116.23</v>
      </c>
      <c r="G468" s="271">
        <v>116.84</v>
      </c>
      <c r="H468" s="271">
        <v>117.005</v>
      </c>
      <c r="I468" s="271">
        <v>116.98</v>
      </c>
      <c r="J468" s="271">
        <v>116.98</v>
      </c>
      <c r="K468" s="271">
        <v>117.89</v>
      </c>
      <c r="L468" s="271">
        <v>119.05</v>
      </c>
      <c r="M468" s="271">
        <v>118.375</v>
      </c>
      <c r="N468" s="271">
        <v>118.46</v>
      </c>
      <c r="O468" s="271">
        <v>118.37</v>
      </c>
      <c r="P468" s="271">
        <v>118.645</v>
      </c>
      <c r="Q468" s="271">
        <v>117.55</v>
      </c>
      <c r="R468" s="271">
        <v>118.62</v>
      </c>
      <c r="S468" s="271">
        <v>118.62</v>
      </c>
      <c r="T468" s="271">
        <v>119.675</v>
      </c>
      <c r="U468" s="271">
        <v>118.88</v>
      </c>
      <c r="V468" s="271">
        <v>119.05</v>
      </c>
      <c r="W468" s="271">
        <v>117.51</v>
      </c>
      <c r="X468" s="271">
        <v>117.16</v>
      </c>
      <c r="Y468" s="271">
        <v>117.01</v>
      </c>
      <c r="Z468" s="273">
        <f ca="1">[1]ExtEntry!$J70</f>
        <v>117.01</v>
      </c>
      <c r="AB468" s="288">
        <v>1066.1040000000066</v>
      </c>
      <c r="AC468" s="288">
        <v>-452.25</v>
      </c>
      <c r="AD468" s="288">
        <v>318.24999999998545</v>
      </c>
      <c r="AE468" s="288">
        <v>-572.85000000000582</v>
      </c>
      <c r="AF468" s="288">
        <v>-1316.5499999999884</v>
      </c>
      <c r="AG468" s="288">
        <v>194.29999999998836</v>
      </c>
      <c r="AH468" s="288">
        <v>-445.55000000000291</v>
      </c>
      <c r="AI468" s="288">
        <v>-566.14999999999418</v>
      </c>
      <c r="AJ468" s="288">
        <v>646.54999999998836</v>
      </c>
      <c r="AK468" s="288">
        <v>-512.54999999998836</v>
      </c>
      <c r="AL468" s="288">
        <v>3.3499999999912689</v>
      </c>
      <c r="AM468" s="288">
        <v>304.85000000000582</v>
      </c>
      <c r="AN468" s="288">
        <v>-227.80000000000291</v>
      </c>
      <c r="AO468" s="288">
        <v>-448.90000000000873</v>
      </c>
      <c r="AP468" s="288">
        <v>1956.3999999999796</v>
      </c>
      <c r="AQ468" s="288">
        <v>-73.699999999982538</v>
      </c>
      <c r="AR468" s="288">
        <v>-582.90000000000873</v>
      </c>
      <c r="AS468" s="288">
        <v>40.19999999999709</v>
      </c>
      <c r="AT468" s="288">
        <v>1182.5500000000029</v>
      </c>
      <c r="AU468" s="288">
        <v>-1353.3999999999942</v>
      </c>
      <c r="AV468" s="287">
        <f t="shared" ca="1" si="31"/>
        <v>-1353.3999999999942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56.05</v>
      </c>
      <c r="G469" s="271">
        <v>56.95</v>
      </c>
      <c r="H469" s="271">
        <v>56.55</v>
      </c>
      <c r="I469" s="271">
        <v>57.41</v>
      </c>
      <c r="J469" s="271">
        <v>57.41</v>
      </c>
      <c r="K469" s="271">
        <v>57.189900000000002</v>
      </c>
      <c r="L469" s="271">
        <v>58.42</v>
      </c>
      <c r="M469" s="271">
        <v>58.935000000000002</v>
      </c>
      <c r="N469" s="271">
        <v>59.23</v>
      </c>
      <c r="O469" s="271">
        <v>59</v>
      </c>
      <c r="P469" s="271">
        <v>58.67</v>
      </c>
      <c r="Q469" s="271">
        <v>58.332500000000003</v>
      </c>
      <c r="R469" s="271">
        <v>58.85</v>
      </c>
      <c r="S469" s="271">
        <v>58.85</v>
      </c>
      <c r="T469" s="271">
        <v>58.24</v>
      </c>
      <c r="U469" s="271">
        <v>58.255000000000003</v>
      </c>
      <c r="V469" s="271">
        <v>58.155000000000001</v>
      </c>
      <c r="W469" s="271">
        <v>57.88</v>
      </c>
      <c r="X469" s="271">
        <v>58.69</v>
      </c>
      <c r="Y469" s="271">
        <v>60</v>
      </c>
      <c r="Z469" s="273">
        <f ca="1">[1]ExtEntry!$J71</f>
        <v>60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388.6</v>
      </c>
      <c r="G470" s="271">
        <v>386.8</v>
      </c>
      <c r="H470" s="271">
        <v>389.9</v>
      </c>
      <c r="I470" s="271">
        <v>393.9</v>
      </c>
      <c r="J470" s="271">
        <v>393.9</v>
      </c>
      <c r="K470" s="271">
        <v>392.7</v>
      </c>
      <c r="L470" s="271">
        <v>396.6</v>
      </c>
      <c r="M470" s="271">
        <v>395.2</v>
      </c>
      <c r="N470" s="271">
        <v>394.5</v>
      </c>
      <c r="O470" s="271">
        <v>390.2</v>
      </c>
      <c r="P470" s="271">
        <v>390.6</v>
      </c>
      <c r="Q470" s="271">
        <v>392.6</v>
      </c>
      <c r="R470" s="271">
        <v>391.7</v>
      </c>
      <c r="S470" s="271">
        <v>390.8</v>
      </c>
      <c r="T470" s="271">
        <v>392.5</v>
      </c>
      <c r="U470" s="271">
        <v>394.2</v>
      </c>
      <c r="V470" s="271">
        <v>397.9</v>
      </c>
      <c r="W470" s="271">
        <v>398.1</v>
      </c>
      <c r="X470" s="271">
        <v>389.5</v>
      </c>
      <c r="Y470" s="271">
        <v>386.8</v>
      </c>
      <c r="Z470" s="273">
        <f ca="1">[1]ExtEntry!$J72</f>
        <v>386.8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26.64</v>
      </c>
      <c r="G471" s="271">
        <v>28.13</v>
      </c>
      <c r="H471" s="271">
        <v>28.51</v>
      </c>
      <c r="I471" s="271">
        <v>28.3</v>
      </c>
      <c r="J471" s="271">
        <v>28.3</v>
      </c>
      <c r="K471" s="271">
        <v>27.89</v>
      </c>
      <c r="L471" s="271">
        <v>27.22</v>
      </c>
      <c r="M471" s="271">
        <v>25.51</v>
      </c>
      <c r="N471" s="271">
        <v>25.64</v>
      </c>
      <c r="O471" s="271">
        <v>25.17</v>
      </c>
      <c r="P471" s="271">
        <v>24.38</v>
      </c>
      <c r="Q471" s="271">
        <v>24.195</v>
      </c>
      <c r="R471" s="271">
        <v>24.66</v>
      </c>
      <c r="S471" s="271">
        <v>24.66</v>
      </c>
      <c r="T471" s="271">
        <v>24.34</v>
      </c>
      <c r="U471" s="271">
        <v>24.925000000000001</v>
      </c>
      <c r="V471" s="271">
        <v>25.465</v>
      </c>
      <c r="W471" s="271">
        <v>25.35</v>
      </c>
      <c r="X471" s="271">
        <v>25.9</v>
      </c>
      <c r="Y471" s="271">
        <v>25.414999999999999</v>
      </c>
      <c r="Z471" s="273">
        <f ca="1">[1]ExtEntry!$J73</f>
        <v>25.414999999999999</v>
      </c>
      <c r="AB471" s="284">
        <v>2249.5</v>
      </c>
      <c r="AC471" s="284">
        <v>2675</v>
      </c>
      <c r="AD471" s="284">
        <v>-2450</v>
      </c>
      <c r="AE471" s="284">
        <v>-1824.9999999999854</v>
      </c>
      <c r="AF471" s="284">
        <v>-5025</v>
      </c>
      <c r="AG471" s="284">
        <v>-5299.5</v>
      </c>
      <c r="AH471" s="284">
        <v>-13100</v>
      </c>
      <c r="AI471" s="284">
        <v>-2225</v>
      </c>
      <c r="AJ471" s="284">
        <v>2825</v>
      </c>
      <c r="AK471" s="284">
        <v>-1700</v>
      </c>
      <c r="AL471" s="284">
        <v>3350</v>
      </c>
      <c r="AM471" s="284">
        <v>6600</v>
      </c>
      <c r="AN471" s="284">
        <v>9450</v>
      </c>
      <c r="AO471" s="284">
        <v>2550</v>
      </c>
      <c r="AP471" s="284">
        <v>5125</v>
      </c>
      <c r="AQ471" s="284">
        <v>324.99999999998545</v>
      </c>
      <c r="AR471" s="284">
        <v>50</v>
      </c>
      <c r="AS471" s="284">
        <v>-1949.9999999999854</v>
      </c>
      <c r="AT471" s="284">
        <v>4950</v>
      </c>
      <c r="AU471" s="284">
        <v>-10924.999999999985</v>
      </c>
      <c r="AV471" s="283">
        <f t="shared" ca="1" si="31"/>
        <v>-10924.999999999985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0.94</v>
      </c>
      <c r="G472" s="271">
        <v>0.97</v>
      </c>
      <c r="H472" s="271">
        <v>1.03</v>
      </c>
      <c r="I472" s="271">
        <v>0.98009999999999997</v>
      </c>
      <c r="J472" s="271">
        <v>0.98009999999999997</v>
      </c>
      <c r="K472" s="271">
        <v>0.9335</v>
      </c>
      <c r="L472" s="271">
        <v>1.03</v>
      </c>
      <c r="M472" s="271">
        <v>1.03</v>
      </c>
      <c r="N472" s="271">
        <v>1.0900000000000001</v>
      </c>
      <c r="O472" s="271">
        <v>1.07</v>
      </c>
      <c r="P472" s="271">
        <v>1.2299</v>
      </c>
      <c r="Q472" s="271">
        <v>1.1599999999999999</v>
      </c>
      <c r="R472" s="271">
        <v>1.1599999999999999</v>
      </c>
      <c r="S472" s="271">
        <v>1.1599999999999999</v>
      </c>
      <c r="T472" s="271">
        <v>1.0900000000000001</v>
      </c>
      <c r="U472" s="271">
        <v>1.1299999999999999</v>
      </c>
      <c r="V472" s="271">
        <v>1.1599999999999999</v>
      </c>
      <c r="W472" s="271">
        <v>1.21</v>
      </c>
      <c r="X472" s="271">
        <v>1.26</v>
      </c>
      <c r="Y472" s="271">
        <v>1.36</v>
      </c>
      <c r="Z472" s="273">
        <f ca="1">[1]ExtEntry!$J74</f>
        <v>1.36</v>
      </c>
      <c r="AB472" s="288">
        <v>-2832</v>
      </c>
      <c r="AC472" s="288">
        <v>2576</v>
      </c>
      <c r="AD472" s="288">
        <v>7664</v>
      </c>
      <c r="AE472" s="288">
        <v>-11264</v>
      </c>
      <c r="AF472" s="288">
        <v>-9728</v>
      </c>
      <c r="AG472" s="288">
        <v>2896</v>
      </c>
      <c r="AH472" s="288">
        <v>-2928</v>
      </c>
      <c r="AI472" s="288">
        <v>-6416</v>
      </c>
      <c r="AJ472" s="288">
        <v>14368</v>
      </c>
      <c r="AK472" s="288">
        <v>10368</v>
      </c>
      <c r="AL472" s="288">
        <v>-5312</v>
      </c>
      <c r="AM472" s="288">
        <v>799.9999999999709</v>
      </c>
      <c r="AN472" s="288">
        <v>2399.9999999999709</v>
      </c>
      <c r="AO472" s="288">
        <v>-6400.0000000000291</v>
      </c>
      <c r="AP472" s="288">
        <v>-13600</v>
      </c>
      <c r="AQ472" s="288">
        <v>1600.0000000000291</v>
      </c>
      <c r="AR472" s="288">
        <v>2399.9999999999709</v>
      </c>
      <c r="AS472" s="288">
        <v>-7200</v>
      </c>
      <c r="AT472" s="288">
        <v>26400.000000000029</v>
      </c>
      <c r="AU472" s="288">
        <v>24000</v>
      </c>
      <c r="AV472" s="287">
        <f t="shared" ca="1" si="31"/>
        <v>24000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14.986000000000001</v>
      </c>
      <c r="G473" s="271">
        <v>14.986000000000001</v>
      </c>
      <c r="H473" s="271">
        <v>15.084</v>
      </c>
      <c r="I473" s="271">
        <v>15.023999999999999</v>
      </c>
      <c r="J473" s="271">
        <v>15.023999999999999</v>
      </c>
      <c r="K473" s="271">
        <v>15.112</v>
      </c>
      <c r="L473" s="271">
        <v>15.276</v>
      </c>
      <c r="M473" s="271">
        <v>15.292</v>
      </c>
      <c r="N473" s="271">
        <v>15.278</v>
      </c>
      <c r="O473" s="271">
        <v>15.257999999999999</v>
      </c>
      <c r="P473" s="271">
        <v>15.39</v>
      </c>
      <c r="Q473" s="271">
        <v>15.276</v>
      </c>
      <c r="R473" s="271">
        <v>15.262</v>
      </c>
      <c r="S473" s="271">
        <v>14.93</v>
      </c>
      <c r="T473" s="271">
        <v>14.99</v>
      </c>
      <c r="U473" s="271">
        <v>14.78</v>
      </c>
      <c r="V473" s="271">
        <v>15.016</v>
      </c>
      <c r="W473" s="271">
        <v>14.965999999999999</v>
      </c>
      <c r="X473" s="271">
        <v>15.102</v>
      </c>
      <c r="Y473" s="271">
        <v>14.994</v>
      </c>
      <c r="Z473" s="273">
        <f ca="1">[1]ExtEntry!$J75</f>
        <v>14.994</v>
      </c>
      <c r="AB473" s="284">
        <v>568</v>
      </c>
      <c r="AC473" s="284">
        <v>-88</v>
      </c>
      <c r="AD473" s="284">
        <v>-576</v>
      </c>
      <c r="AE473" s="284">
        <v>-184</v>
      </c>
      <c r="AF473" s="284">
        <v>-16</v>
      </c>
      <c r="AG473" s="284">
        <v>344</v>
      </c>
      <c r="AH473" s="284">
        <v>-64</v>
      </c>
      <c r="AI473" s="284">
        <v>168</v>
      </c>
      <c r="AJ473" s="284">
        <v>-200</v>
      </c>
      <c r="AK473" s="284">
        <v>-344</v>
      </c>
      <c r="AL473" s="284">
        <v>-272</v>
      </c>
      <c r="AM473" s="284">
        <v>-192</v>
      </c>
      <c r="AN473" s="284">
        <v>-580</v>
      </c>
      <c r="AO473" s="284">
        <v>448</v>
      </c>
      <c r="AP473" s="284">
        <v>-76</v>
      </c>
      <c r="AQ473" s="284">
        <v>-184</v>
      </c>
      <c r="AR473" s="284">
        <v>632</v>
      </c>
      <c r="AS473" s="284">
        <v>672</v>
      </c>
      <c r="AT473" s="284">
        <v>-372</v>
      </c>
      <c r="AU473" s="284">
        <v>276</v>
      </c>
      <c r="AV473" s="283">
        <f t="shared" ca="1" si="31"/>
        <v>276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511.4</v>
      </c>
      <c r="G474" s="271">
        <v>519.4</v>
      </c>
      <c r="H474" s="271">
        <v>515.79999999999995</v>
      </c>
      <c r="I474" s="271">
        <v>519</v>
      </c>
      <c r="J474" s="271">
        <v>519</v>
      </c>
      <c r="K474" s="271">
        <v>517.4</v>
      </c>
      <c r="L474" s="271">
        <v>515.79999999999995</v>
      </c>
      <c r="M474" s="271">
        <v>512.6</v>
      </c>
      <c r="N474" s="271">
        <v>511.6</v>
      </c>
      <c r="O474" s="271">
        <v>499.5</v>
      </c>
      <c r="P474" s="271">
        <v>493.8</v>
      </c>
      <c r="Q474" s="271">
        <v>491</v>
      </c>
      <c r="R474" s="271">
        <v>490.7</v>
      </c>
      <c r="S474" s="271">
        <v>472.6</v>
      </c>
      <c r="T474" s="271">
        <v>470.8</v>
      </c>
      <c r="U474" s="271">
        <v>473.1</v>
      </c>
      <c r="V474" s="271">
        <v>475.6</v>
      </c>
      <c r="W474" s="271">
        <v>471.5</v>
      </c>
      <c r="X474" s="271">
        <v>468</v>
      </c>
      <c r="Y474" s="271">
        <v>470</v>
      </c>
      <c r="Z474" s="273">
        <f ca="1">[1]ExtEntry!$J76</f>
        <v>470</v>
      </c>
      <c r="AB474" s="288">
        <v>3990</v>
      </c>
      <c r="AC474" s="288">
        <v>-1.4999999999708962</v>
      </c>
      <c r="AD474" s="288">
        <v>-2340</v>
      </c>
      <c r="AE474" s="288">
        <v>720</v>
      </c>
      <c r="AF474" s="288">
        <v>3540</v>
      </c>
      <c r="AG474" s="288">
        <v>-3960.0000000000291</v>
      </c>
      <c r="AH474" s="288">
        <v>1501.4999999999709</v>
      </c>
      <c r="AI474" s="288">
        <v>-480</v>
      </c>
      <c r="AJ474" s="288">
        <v>-6900</v>
      </c>
      <c r="AK474" s="288">
        <v>-1140</v>
      </c>
      <c r="AL474" s="288">
        <v>2070.0000000000291</v>
      </c>
      <c r="AM474" s="288">
        <v>-7078</v>
      </c>
      <c r="AN474" s="288">
        <v>2300</v>
      </c>
      <c r="AO474" s="288">
        <v>3045.3600000000151</v>
      </c>
      <c r="AP474" s="288">
        <v>-380</v>
      </c>
      <c r="AQ474" s="288">
        <v>430</v>
      </c>
      <c r="AR474" s="288">
        <v>5018</v>
      </c>
      <c r="AS474" s="288">
        <v>-6720</v>
      </c>
      <c r="AT474" s="288">
        <v>-405.36000000001513</v>
      </c>
      <c r="AU474" s="288">
        <v>-120</v>
      </c>
      <c r="AV474" s="287">
        <f t="shared" ca="1" si="31"/>
        <v>-120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11.33</v>
      </c>
      <c r="G475" s="271">
        <v>11.51</v>
      </c>
      <c r="H475" s="271">
        <v>11.47</v>
      </c>
      <c r="I475" s="271">
        <v>11.73</v>
      </c>
      <c r="J475" s="271">
        <v>11.73</v>
      </c>
      <c r="K475" s="271">
        <v>11.6</v>
      </c>
      <c r="L475" s="271">
        <v>11.85</v>
      </c>
      <c r="M475" s="271">
        <v>11.87</v>
      </c>
      <c r="N475" s="271">
        <v>11.98</v>
      </c>
      <c r="O475" s="271">
        <v>11.99</v>
      </c>
      <c r="P475" s="271">
        <v>11.83</v>
      </c>
      <c r="Q475" s="271">
        <v>11.89</v>
      </c>
      <c r="R475" s="271">
        <v>11.72</v>
      </c>
      <c r="S475" s="271">
        <v>11.725</v>
      </c>
      <c r="T475" s="271">
        <v>11.7</v>
      </c>
      <c r="U475" s="271">
        <v>11.75</v>
      </c>
      <c r="V475" s="271">
        <v>11.68</v>
      </c>
      <c r="W475" s="271">
        <v>11.52</v>
      </c>
      <c r="X475" s="271">
        <v>11.79</v>
      </c>
      <c r="Y475" s="271">
        <v>11.81</v>
      </c>
      <c r="Z475" s="273">
        <f ca="1">[1]ExtEntry!$J77</f>
        <v>11.81</v>
      </c>
      <c r="AB475" s="284">
        <v>575</v>
      </c>
      <c r="AC475" s="284">
        <v>124.99999999999272</v>
      </c>
      <c r="AD475" s="284">
        <v>224.99999999999272</v>
      </c>
      <c r="AE475" s="284">
        <v>172</v>
      </c>
      <c r="AF475" s="284">
        <v>-278</v>
      </c>
      <c r="AG475" s="284">
        <v>-100</v>
      </c>
      <c r="AH475" s="284">
        <v>250</v>
      </c>
      <c r="AI475" s="284">
        <v>-49.999999999992724</v>
      </c>
      <c r="AJ475" s="284">
        <v>33</v>
      </c>
      <c r="AK475" s="284">
        <v>-1972</v>
      </c>
      <c r="AL475" s="284">
        <v>300</v>
      </c>
      <c r="AM475" s="284">
        <v>-424.99999999999272</v>
      </c>
      <c r="AN475" s="284">
        <v>-575.50000000000728</v>
      </c>
      <c r="AO475" s="284">
        <v>-375.00000000001455</v>
      </c>
      <c r="AP475" s="284">
        <v>1700</v>
      </c>
      <c r="AQ475" s="284">
        <v>-525</v>
      </c>
      <c r="AR475" s="284">
        <v>-750.00000000000728</v>
      </c>
      <c r="AS475" s="284">
        <v>70.500000000007276</v>
      </c>
      <c r="AT475" s="284">
        <v>1135.0000000000073</v>
      </c>
      <c r="AU475" s="284">
        <v>-372</v>
      </c>
      <c r="AV475" s="283">
        <f t="shared" ca="1" si="31"/>
        <v>-372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58.6</v>
      </c>
      <c r="G476" s="271">
        <v>59.42</v>
      </c>
      <c r="H476" s="271">
        <v>58.72</v>
      </c>
      <c r="I476" s="271">
        <v>58.56</v>
      </c>
      <c r="J476" s="271">
        <v>58.56</v>
      </c>
      <c r="K476" s="271">
        <v>58.24</v>
      </c>
      <c r="L476" s="271">
        <v>58.16</v>
      </c>
      <c r="M476" s="271">
        <v>53.82</v>
      </c>
      <c r="N476" s="271">
        <v>52.4</v>
      </c>
      <c r="O476" s="271">
        <v>52.78</v>
      </c>
      <c r="P476" s="271">
        <v>53.7</v>
      </c>
      <c r="Q476" s="271">
        <v>53.48</v>
      </c>
      <c r="R476" s="271">
        <v>52.84</v>
      </c>
      <c r="S476" s="271">
        <v>53.74</v>
      </c>
      <c r="T476" s="271">
        <v>54.4</v>
      </c>
      <c r="U476" s="271">
        <v>53.78</v>
      </c>
      <c r="V476" s="271">
        <v>54.36</v>
      </c>
      <c r="W476" s="271">
        <v>56.06</v>
      </c>
      <c r="X476" s="271">
        <v>57.86</v>
      </c>
      <c r="Y476" s="271">
        <v>57.92</v>
      </c>
      <c r="Z476" s="273">
        <f ca="1">[1]ExtEntry!$J78</f>
        <v>57.92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202.36500000000001</v>
      </c>
      <c r="G477" s="271">
        <v>199.72</v>
      </c>
      <c r="H477" s="271">
        <v>200.12</v>
      </c>
      <c r="I477" s="271">
        <v>201.70500000000001</v>
      </c>
      <c r="J477" s="271">
        <v>201.70500000000001</v>
      </c>
      <c r="K477" s="271">
        <v>199.07990000000001</v>
      </c>
      <c r="L477" s="271">
        <v>195.27</v>
      </c>
      <c r="M477" s="271">
        <v>191.9699</v>
      </c>
      <c r="N477" s="271">
        <v>190.3099</v>
      </c>
      <c r="O477" s="271">
        <v>188.67</v>
      </c>
      <c r="P477" s="271">
        <v>187.07749999999999</v>
      </c>
      <c r="Q477" s="271">
        <v>182.57</v>
      </c>
      <c r="R477" s="271">
        <v>179.13</v>
      </c>
      <c r="S477" s="271">
        <v>179.13</v>
      </c>
      <c r="T477" s="271">
        <v>178.38</v>
      </c>
      <c r="U477" s="271">
        <v>185.37</v>
      </c>
      <c r="V477" s="271">
        <v>184.57</v>
      </c>
      <c r="W477" s="271">
        <v>186.22</v>
      </c>
      <c r="X477" s="271">
        <v>192.715</v>
      </c>
      <c r="Y477" s="271">
        <v>189.05</v>
      </c>
      <c r="Z477" s="273">
        <f ca="1">[1]ExtEntry!$J79</f>
        <v>189.05</v>
      </c>
      <c r="AB477" s="284">
        <v>-4193.9999999999854</v>
      </c>
      <c r="AC477" s="284">
        <v>-336</v>
      </c>
      <c r="AD477" s="284">
        <v>-165.66000000000349</v>
      </c>
      <c r="AE477" s="284">
        <v>-774.00000000001455</v>
      </c>
      <c r="AF477" s="284">
        <v>-824.16000000001804</v>
      </c>
      <c r="AG477" s="284">
        <v>-2802.0000000000146</v>
      </c>
      <c r="AH477" s="284">
        <v>-198</v>
      </c>
      <c r="AI477" s="284">
        <v>147.65999999998894</v>
      </c>
      <c r="AJ477" s="284">
        <v>-155.99999999998545</v>
      </c>
      <c r="AK477" s="284">
        <v>-155.99999999998545</v>
      </c>
      <c r="AL477" s="284">
        <v>4494.0000000000146</v>
      </c>
      <c r="AM477" s="284">
        <v>702</v>
      </c>
      <c r="AN477" s="284">
        <v>702</v>
      </c>
      <c r="AO477" s="284">
        <v>186.00000000001455</v>
      </c>
      <c r="AP477" s="284">
        <v>0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744.8</v>
      </c>
      <c r="G478" s="271">
        <v>748.86990000000003</v>
      </c>
      <c r="H478" s="271">
        <v>731.16</v>
      </c>
      <c r="I478" s="271">
        <v>729.89</v>
      </c>
      <c r="J478" s="271">
        <v>729.89</v>
      </c>
      <c r="K478" s="271">
        <v>722.25</v>
      </c>
      <c r="L478" s="271">
        <v>746.5</v>
      </c>
      <c r="M478" s="271">
        <v>749.16</v>
      </c>
      <c r="N478" s="271">
        <v>753</v>
      </c>
      <c r="O478" s="271">
        <v>753.32770000000005</v>
      </c>
      <c r="P478" s="271">
        <v>748.91650000000004</v>
      </c>
      <c r="Q478" s="271">
        <v>735.64</v>
      </c>
      <c r="R478" s="271">
        <v>731.68</v>
      </c>
      <c r="S478" s="271">
        <v>732.02</v>
      </c>
      <c r="T478" s="271">
        <v>748.91</v>
      </c>
      <c r="U478" s="271">
        <v>743.54319999999996</v>
      </c>
      <c r="V478" s="271">
        <v>765.62</v>
      </c>
      <c r="W478" s="271">
        <v>774.47</v>
      </c>
      <c r="X478" s="271">
        <v>793.16</v>
      </c>
      <c r="Y478" s="271">
        <v>787.03</v>
      </c>
      <c r="Z478" s="273">
        <f ca="1">[1]ExtEntry!$J80</f>
        <v>787.03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2.4914000000000001</v>
      </c>
      <c r="G479" s="271">
        <v>2.48</v>
      </c>
      <c r="H479" s="271">
        <v>2.2978999999999998</v>
      </c>
      <c r="I479" s="271">
        <v>2.15</v>
      </c>
      <c r="J479" s="271">
        <v>2.15</v>
      </c>
      <c r="K479" s="271">
        <v>2.0099999999999998</v>
      </c>
      <c r="L479" s="271">
        <v>2</v>
      </c>
      <c r="M479" s="271">
        <v>1.96</v>
      </c>
      <c r="N479" s="271">
        <v>1.91</v>
      </c>
      <c r="O479" s="271">
        <v>1.86</v>
      </c>
      <c r="P479" s="271">
        <v>1.7849999999999999</v>
      </c>
      <c r="Q479" s="271">
        <v>1.68</v>
      </c>
      <c r="R479" s="271">
        <v>1.66</v>
      </c>
      <c r="S479" s="271">
        <v>1.66</v>
      </c>
      <c r="T479" s="271">
        <v>1.7150000000000001</v>
      </c>
      <c r="U479" s="271">
        <v>1.72</v>
      </c>
      <c r="V479" s="271">
        <v>1.77</v>
      </c>
      <c r="W479" s="271">
        <v>1.75</v>
      </c>
      <c r="X479" s="271">
        <v>1.85</v>
      </c>
      <c r="Y479" s="271">
        <v>1.91</v>
      </c>
      <c r="Z479" s="273">
        <f ca="1">[1]ExtEntry!$J81</f>
        <v>1.91</v>
      </c>
      <c r="AB479" s="284">
        <v>1319.0299999999988</v>
      </c>
      <c r="AC479" s="284">
        <v>-1474.2100000000064</v>
      </c>
      <c r="AD479" s="284">
        <v>-1494.3834000000061</v>
      </c>
      <c r="AE479" s="284">
        <v>-7177.0749999999971</v>
      </c>
      <c r="AF479" s="284">
        <v>-2523.226800000004</v>
      </c>
      <c r="AG479" s="284">
        <v>698.31000000000495</v>
      </c>
      <c r="AH479" s="284">
        <v>1008.6699999999983</v>
      </c>
      <c r="AI479" s="284">
        <v>563.30340000000433</v>
      </c>
      <c r="AJ479" s="284">
        <v>2676.8549999999959</v>
      </c>
      <c r="AK479" s="284">
        <v>1835.7793999999958</v>
      </c>
      <c r="AL479" s="284">
        <v>-1396.6200000000026</v>
      </c>
      <c r="AM479" s="284">
        <v>232.77000000000407</v>
      </c>
      <c r="AN479" s="284">
        <v>1241.4399999999987</v>
      </c>
      <c r="AO479" s="284">
        <v>1706.9799999999923</v>
      </c>
      <c r="AP479" s="284">
        <v>1772.1556000000019</v>
      </c>
      <c r="AQ479" s="284">
        <v>1241.4400000000023</v>
      </c>
      <c r="AR479" s="284">
        <v>698.30999999999767</v>
      </c>
      <c r="AS479" s="284">
        <v>-931.07999999999811</v>
      </c>
      <c r="AT479" s="284">
        <v>1086.2600000000057</v>
      </c>
      <c r="AU479" s="284">
        <v>543.13000000000102</v>
      </c>
      <c r="AV479" s="283">
        <f t="shared" ca="1" si="31"/>
        <v>543.13000000000102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30.614999999999998</v>
      </c>
      <c r="G480" s="271">
        <v>31.6</v>
      </c>
      <c r="H480" s="271">
        <v>31.414999999999999</v>
      </c>
      <c r="I480" s="271">
        <v>31.715</v>
      </c>
      <c r="J480" s="271">
        <v>31.715</v>
      </c>
      <c r="K480" s="271">
        <v>31.66</v>
      </c>
      <c r="L480" s="271">
        <v>32.79</v>
      </c>
      <c r="M480" s="271">
        <v>33.51</v>
      </c>
      <c r="N480" s="271">
        <v>33.64</v>
      </c>
      <c r="O480" s="271">
        <v>33.299999999999997</v>
      </c>
      <c r="P480" s="271">
        <v>33.07</v>
      </c>
      <c r="Q480" s="271">
        <v>32.94</v>
      </c>
      <c r="R480" s="271">
        <v>33.35</v>
      </c>
      <c r="S480" s="271">
        <v>33.35</v>
      </c>
      <c r="T480" s="271">
        <v>32.68</v>
      </c>
      <c r="U480" s="271">
        <v>31.855</v>
      </c>
      <c r="V480" s="271">
        <v>31.68</v>
      </c>
      <c r="W480" s="271">
        <v>31.425000000000001</v>
      </c>
      <c r="X480" s="271">
        <v>31.84</v>
      </c>
      <c r="Y480" s="271">
        <v>32.454999999999998</v>
      </c>
      <c r="Z480" s="273">
        <f ca="1">[1]ExtEntry!$J82</f>
        <v>32.454999999999998</v>
      </c>
      <c r="AB480" s="288">
        <v>559.44000000000233</v>
      </c>
      <c r="AC480" s="288">
        <v>834</v>
      </c>
      <c r="AD480" s="288">
        <v>-90</v>
      </c>
      <c r="AE480" s="288">
        <v>-1488</v>
      </c>
      <c r="AF480" s="288">
        <v>-42</v>
      </c>
      <c r="AG480" s="288">
        <v>22.559999999997672</v>
      </c>
      <c r="AH480" s="288">
        <v>-828</v>
      </c>
      <c r="AI480" s="288">
        <v>1032</v>
      </c>
      <c r="AJ480" s="288">
        <v>-336</v>
      </c>
      <c r="AK480" s="288">
        <v>-858.00000000000728</v>
      </c>
      <c r="AL480" s="288">
        <v>-84.000000000007276</v>
      </c>
      <c r="AM480" s="288">
        <v>-782.64000000000669</v>
      </c>
      <c r="AN480" s="288">
        <v>462</v>
      </c>
      <c r="AO480" s="288">
        <v>-845.99999999999272</v>
      </c>
      <c r="AP480" s="288">
        <v>-773.99999999999272</v>
      </c>
      <c r="AQ480" s="288">
        <v>684.00000000000728</v>
      </c>
      <c r="AR480" s="288">
        <v>-75.359999999993306</v>
      </c>
      <c r="AS480" s="288">
        <v>-216</v>
      </c>
      <c r="AT480" s="288">
        <v>407.99999999999272</v>
      </c>
      <c r="AU480" s="288">
        <v>1254</v>
      </c>
      <c r="AV480" s="287">
        <f t="shared" ca="1" si="31"/>
        <v>1254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581.33000000000004</v>
      </c>
      <c r="G481" s="271">
        <v>589.55999999999995</v>
      </c>
      <c r="H481" s="271">
        <v>585.49</v>
      </c>
      <c r="I481" s="271">
        <v>590.57000000000005</v>
      </c>
      <c r="J481" s="271">
        <v>590.57000000000005</v>
      </c>
      <c r="K481" s="271">
        <v>593.88</v>
      </c>
      <c r="L481" s="271">
        <v>599.04499999999996</v>
      </c>
      <c r="M481" s="271">
        <v>596</v>
      </c>
      <c r="N481" s="271">
        <v>594.61860000000001</v>
      </c>
      <c r="O481" s="271">
        <v>593.98</v>
      </c>
      <c r="P481" s="271">
        <v>596.83000000000004</v>
      </c>
      <c r="Q481" s="271">
        <v>595.5</v>
      </c>
      <c r="R481" s="271">
        <v>591.92999999999995</v>
      </c>
      <c r="S481" s="271">
        <v>594</v>
      </c>
      <c r="T481" s="271">
        <v>595.89</v>
      </c>
      <c r="U481" s="271">
        <v>589.79399999999998</v>
      </c>
      <c r="V481" s="271">
        <v>591.17999999999995</v>
      </c>
      <c r="W481" s="271">
        <v>582.13</v>
      </c>
      <c r="X481" s="271">
        <v>589.97</v>
      </c>
      <c r="Y481" s="271">
        <v>589.21</v>
      </c>
      <c r="Z481" s="273">
        <f ca="1">[1]ExtEntry!$J83</f>
        <v>589.21</v>
      </c>
      <c r="AB481" s="284">
        <v>1008.9999999999854</v>
      </c>
      <c r="AC481" s="284">
        <v>-767.00000000001455</v>
      </c>
      <c r="AD481" s="284">
        <v>-594.0000000000291</v>
      </c>
      <c r="AE481" s="284">
        <v>293.32000000000698</v>
      </c>
      <c r="AF481" s="284">
        <v>219.44000000000233</v>
      </c>
      <c r="AG481" s="284">
        <v>1524</v>
      </c>
      <c r="AH481" s="284">
        <v>-674.0000000000291</v>
      </c>
      <c r="AI481" s="284">
        <v>-211</v>
      </c>
      <c r="AJ481" s="284">
        <v>-306.31999999999243</v>
      </c>
      <c r="AK481" s="284">
        <v>-944.32000000000698</v>
      </c>
      <c r="AL481" s="284">
        <v>-742</v>
      </c>
      <c r="AM481" s="284">
        <v>-824.9999999999709</v>
      </c>
      <c r="AN481" s="284">
        <v>1246.0000000000146</v>
      </c>
      <c r="AO481" s="284">
        <v>584</v>
      </c>
      <c r="AP481" s="284">
        <v>1256.0000000000146</v>
      </c>
      <c r="AQ481" s="284">
        <v>200</v>
      </c>
      <c r="AR481" s="284">
        <v>1799</v>
      </c>
      <c r="AS481" s="284">
        <v>-865.99999999998545</v>
      </c>
      <c r="AT481" s="284">
        <v>1422.0000000000146</v>
      </c>
      <c r="AU481" s="284">
        <v>-1634.0000000000146</v>
      </c>
      <c r="AV481" s="283">
        <f t="shared" ca="1" si="31"/>
        <v>-1634.0000000000146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9.89</v>
      </c>
      <c r="H482" s="271">
        <v>10.644500000000001</v>
      </c>
      <c r="I482" s="271">
        <v>9.9</v>
      </c>
      <c r="J482" s="271">
        <v>9.9</v>
      </c>
      <c r="K482" s="271">
        <v>9.1999999999999993</v>
      </c>
      <c r="L482" s="271">
        <v>7.88</v>
      </c>
      <c r="M482" s="271">
        <v>7.55</v>
      </c>
      <c r="N482" s="271">
        <v>7.77</v>
      </c>
      <c r="O482" s="271">
        <v>7.7649999999999997</v>
      </c>
      <c r="P482" s="271">
        <v>7.79</v>
      </c>
      <c r="Q482" s="271">
        <v>7.66</v>
      </c>
      <c r="R482" s="271">
        <v>7.7081</v>
      </c>
      <c r="S482" s="271">
        <v>7.7081</v>
      </c>
      <c r="T482" s="271">
        <v>7.82</v>
      </c>
      <c r="U482" s="271">
        <v>7.86</v>
      </c>
      <c r="V482" s="271">
        <v>8.09</v>
      </c>
      <c r="W482" s="271">
        <v>8.19</v>
      </c>
      <c r="X482" s="271">
        <v>8.31</v>
      </c>
      <c r="Y482" s="271">
        <v>8.2899999999999991</v>
      </c>
      <c r="Z482" s="273">
        <f ca="1">[1]ExtEntry!$J84</f>
        <v>8.2899999999999991</v>
      </c>
      <c r="AB482" s="288">
        <v>2034.9999999999854</v>
      </c>
      <c r="AC482" s="288">
        <v>-825.00000000001455</v>
      </c>
      <c r="AD482" s="288">
        <v>2255</v>
      </c>
      <c r="AE482" s="288">
        <v>-6711.1000000000058</v>
      </c>
      <c r="AF482" s="288">
        <v>-5941.1000000000058</v>
      </c>
      <c r="AG482" s="288">
        <v>-3629.9999999999854</v>
      </c>
      <c r="AH482" s="288">
        <v>-2804.9999999999854</v>
      </c>
      <c r="AI482" s="288">
        <v>-2255</v>
      </c>
      <c r="AJ482" s="288">
        <v>3081.1000000000058</v>
      </c>
      <c r="AK482" s="288">
        <v>-1208.8999999999942</v>
      </c>
      <c r="AL482" s="288">
        <v>-1155</v>
      </c>
      <c r="AM482" s="288">
        <v>4840</v>
      </c>
      <c r="AN482" s="288">
        <v>4070</v>
      </c>
      <c r="AO482" s="288">
        <v>-1320</v>
      </c>
      <c r="AP482" s="288">
        <v>7040</v>
      </c>
      <c r="AQ482" s="288">
        <v>-495</v>
      </c>
      <c r="AR482" s="288">
        <v>1210</v>
      </c>
      <c r="AS482" s="288">
        <v>-990</v>
      </c>
      <c r="AT482" s="288">
        <v>4125</v>
      </c>
      <c r="AU482" s="288">
        <v>-6710.0000000000146</v>
      </c>
      <c r="AV482" s="287">
        <f t="shared" ca="1" si="31"/>
        <v>-6710.0000000000146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122.33499999999999</v>
      </c>
      <c r="G483" s="271">
        <v>123.49</v>
      </c>
      <c r="H483" s="271">
        <v>124.43</v>
      </c>
      <c r="I483" s="271">
        <v>125.6</v>
      </c>
      <c r="J483" s="271">
        <v>125.6</v>
      </c>
      <c r="K483" s="271">
        <v>127.68</v>
      </c>
      <c r="L483" s="271">
        <v>126.94499999999999</v>
      </c>
      <c r="M483" s="271">
        <v>126.84</v>
      </c>
      <c r="N483" s="271">
        <v>127.07</v>
      </c>
      <c r="O483" s="271">
        <v>126.605</v>
      </c>
      <c r="P483" s="271">
        <v>126.94</v>
      </c>
      <c r="Q483" s="271">
        <v>126.79</v>
      </c>
      <c r="R483" s="271">
        <v>127.88</v>
      </c>
      <c r="S483" s="271">
        <v>128.4385</v>
      </c>
      <c r="T483" s="271">
        <v>129.21</v>
      </c>
      <c r="U483" s="271">
        <v>129.07</v>
      </c>
      <c r="V483" s="271">
        <v>128.58000000000001</v>
      </c>
      <c r="W483" s="271">
        <v>127.29</v>
      </c>
      <c r="X483" s="271">
        <v>128.05000000000001</v>
      </c>
      <c r="Y483" s="271">
        <v>125.14</v>
      </c>
      <c r="Z483" s="273">
        <f ca="1">[1]ExtEntry!$J85</f>
        <v>125.14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14.41</v>
      </c>
      <c r="G484" s="271">
        <v>14.465</v>
      </c>
      <c r="H484" s="271">
        <v>14.56</v>
      </c>
      <c r="I484" s="271">
        <v>14.525</v>
      </c>
      <c r="J484" s="271">
        <v>14.525</v>
      </c>
      <c r="K484" s="271">
        <v>14.535</v>
      </c>
      <c r="L484" s="271">
        <v>14.43</v>
      </c>
      <c r="M484" s="271">
        <v>14.1</v>
      </c>
      <c r="N484" s="271">
        <v>13.904999999999999</v>
      </c>
      <c r="O484" s="271">
        <v>13.93</v>
      </c>
      <c r="P484" s="271">
        <v>13.97</v>
      </c>
      <c r="Q484" s="271">
        <v>13.845000000000001</v>
      </c>
      <c r="R484" s="271">
        <v>13.77</v>
      </c>
      <c r="S484" s="271">
        <v>13.68</v>
      </c>
      <c r="T484" s="271">
        <v>13.75</v>
      </c>
      <c r="U484" s="271">
        <v>13.615</v>
      </c>
      <c r="V484" s="271">
        <v>13.69</v>
      </c>
      <c r="W484" s="271">
        <v>13.73</v>
      </c>
      <c r="X484" s="271">
        <v>13.914999999999999</v>
      </c>
      <c r="Y484" s="271">
        <v>13.95</v>
      </c>
      <c r="Z484" s="273">
        <f ca="1">[1]ExtEntry!$J86</f>
        <v>13.95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44.62</v>
      </c>
      <c r="G485" s="271">
        <v>45.01</v>
      </c>
      <c r="H485" s="271">
        <v>44.085000000000001</v>
      </c>
      <c r="I485" s="271">
        <v>44.66</v>
      </c>
      <c r="J485" s="271">
        <v>44.66</v>
      </c>
      <c r="K485" s="271">
        <v>44.414999999999999</v>
      </c>
      <c r="L485" s="271">
        <v>46.484999999999999</v>
      </c>
      <c r="M485" s="271">
        <v>46.375</v>
      </c>
      <c r="N485" s="271">
        <v>47.125</v>
      </c>
      <c r="O485" s="271">
        <v>47.07</v>
      </c>
      <c r="P485" s="271">
        <v>48.03</v>
      </c>
      <c r="Q485" s="271">
        <v>47.96</v>
      </c>
      <c r="R485" s="271">
        <v>48.08</v>
      </c>
      <c r="S485" s="271">
        <v>48.08</v>
      </c>
      <c r="T485" s="271">
        <v>46.795400000000001</v>
      </c>
      <c r="U485" s="271">
        <v>46.225000000000001</v>
      </c>
      <c r="V485" s="271">
        <v>46.284999999999997</v>
      </c>
      <c r="W485" s="271">
        <v>46.31</v>
      </c>
      <c r="X485" s="271">
        <v>46.26</v>
      </c>
      <c r="Y485" s="271">
        <v>46.55</v>
      </c>
      <c r="Z485" s="273">
        <f ca="1">[1]ExtEntry!$J87</f>
        <v>46.55</v>
      </c>
      <c r="AB485" s="284">
        <v>-40</v>
      </c>
      <c r="AC485" s="284">
        <v>-68.799999999988358</v>
      </c>
      <c r="AD485" s="284">
        <v>-309.19999999998254</v>
      </c>
      <c r="AE485" s="284">
        <v>-1260</v>
      </c>
      <c r="AF485" s="284">
        <v>-1380</v>
      </c>
      <c r="AG485" s="284">
        <v>2860</v>
      </c>
      <c r="AH485" s="284">
        <v>2160</v>
      </c>
      <c r="AI485" s="284">
        <v>-379.60000000000582</v>
      </c>
      <c r="AJ485" s="284">
        <v>4040</v>
      </c>
      <c r="AK485" s="284">
        <v>-100</v>
      </c>
      <c r="AL485" s="284">
        <v>-1100</v>
      </c>
      <c r="AM485" s="284">
        <v>-1320</v>
      </c>
      <c r="AN485" s="284">
        <v>-6068</v>
      </c>
      <c r="AO485" s="284">
        <v>-5340</v>
      </c>
      <c r="AP485" s="284">
        <v>1560</v>
      </c>
      <c r="AQ485" s="284">
        <v>-3240</v>
      </c>
      <c r="AR485" s="284">
        <v>-3880</v>
      </c>
      <c r="AS485" s="284">
        <v>7968</v>
      </c>
      <c r="AT485" s="284">
        <v>6440</v>
      </c>
      <c r="AU485" s="284">
        <v>-3640</v>
      </c>
      <c r="AV485" s="283">
        <f t="shared" ca="1" si="31"/>
        <v>-3640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25.12</v>
      </c>
      <c r="G486" s="271">
        <v>25.3</v>
      </c>
      <c r="H486" s="271">
        <v>25.2</v>
      </c>
      <c r="I486" s="271">
        <v>25.43</v>
      </c>
      <c r="J486" s="271">
        <v>25.43</v>
      </c>
      <c r="K486" s="271">
        <v>25.69</v>
      </c>
      <c r="L486" s="271">
        <v>25.89</v>
      </c>
      <c r="M486" s="271">
        <v>25.24</v>
      </c>
      <c r="N486" s="271">
        <v>25.17</v>
      </c>
      <c r="O486" s="271">
        <v>25.07</v>
      </c>
      <c r="P486" s="271">
        <v>24.88</v>
      </c>
      <c r="Q486" s="271">
        <v>25.065000000000001</v>
      </c>
      <c r="R486" s="271">
        <v>25.12</v>
      </c>
      <c r="S486" s="271">
        <v>25.12</v>
      </c>
      <c r="T486" s="271">
        <v>24.78</v>
      </c>
      <c r="U486" s="271">
        <v>24.965</v>
      </c>
      <c r="V486" s="271">
        <v>24.79</v>
      </c>
      <c r="W486" s="271">
        <v>24.65</v>
      </c>
      <c r="X486" s="271">
        <v>24.86</v>
      </c>
      <c r="Y486" s="271">
        <v>24.84</v>
      </c>
      <c r="Z486" s="273">
        <f ca="1">[1]ExtEntry!$J88</f>
        <v>24.84</v>
      </c>
      <c r="AB486" s="288">
        <v>-328</v>
      </c>
      <c r="AC486" s="288">
        <v>-320.15999999999622</v>
      </c>
      <c r="AD486" s="288">
        <v>-128</v>
      </c>
      <c r="AE486" s="288">
        <v>322.40000000000146</v>
      </c>
      <c r="AF486" s="288">
        <v>-181.59999999999854</v>
      </c>
      <c r="AG486" s="288">
        <v>40</v>
      </c>
      <c r="AH486" s="288">
        <v>-903.84000000000378</v>
      </c>
      <c r="AI486" s="288">
        <v>-248</v>
      </c>
      <c r="AJ486" s="288">
        <v>-194.40000000000146</v>
      </c>
      <c r="AK486" s="288">
        <v>-1026.4000000000015</v>
      </c>
      <c r="AL486" s="288">
        <v>152</v>
      </c>
      <c r="AM486" s="288">
        <v>1301.4400000000023</v>
      </c>
      <c r="AN486" s="288">
        <v>1256</v>
      </c>
      <c r="AO486" s="288">
        <v>208</v>
      </c>
      <c r="AP486" s="288">
        <v>360</v>
      </c>
      <c r="AQ486" s="288">
        <v>-664</v>
      </c>
      <c r="AR486" s="288">
        <v>170.55999999999767</v>
      </c>
      <c r="AS486" s="288">
        <v>-136</v>
      </c>
      <c r="AT486" s="288">
        <v>528</v>
      </c>
      <c r="AU486" s="288">
        <v>-1104</v>
      </c>
      <c r="AV486" s="287">
        <f t="shared" ca="1" si="31"/>
        <v>-1104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2.97</v>
      </c>
      <c r="G487" s="271">
        <v>3.02</v>
      </c>
      <c r="H487" s="271">
        <v>2.94</v>
      </c>
      <c r="I487" s="271">
        <v>2.99</v>
      </c>
      <c r="J487" s="271">
        <v>2.99</v>
      </c>
      <c r="K487" s="271">
        <v>2.86</v>
      </c>
      <c r="L487" s="271">
        <v>3.13</v>
      </c>
      <c r="M487" s="271">
        <v>3.13</v>
      </c>
      <c r="N487" s="271">
        <v>3.21</v>
      </c>
      <c r="O487" s="271">
        <v>3.1949999999999998</v>
      </c>
      <c r="P487" s="271">
        <v>3.12</v>
      </c>
      <c r="Q487" s="271">
        <v>3.1</v>
      </c>
      <c r="R487" s="271">
        <v>3.08</v>
      </c>
      <c r="S487" s="271">
        <v>3.08</v>
      </c>
      <c r="T487" s="271">
        <v>3.11</v>
      </c>
      <c r="U487" s="271">
        <v>3.22</v>
      </c>
      <c r="V487" s="271">
        <v>3.24</v>
      </c>
      <c r="W487" s="271">
        <v>3.25</v>
      </c>
      <c r="X487" s="271">
        <v>3.27</v>
      </c>
      <c r="Y487" s="271">
        <v>3.33</v>
      </c>
      <c r="Z487" s="273">
        <f ca="1">[1]ExtEntry!$J89</f>
        <v>3.33</v>
      </c>
      <c r="AB487" s="284">
        <v>742</v>
      </c>
      <c r="AC487" s="284">
        <v>-1924.9999999999854</v>
      </c>
      <c r="AD487" s="284">
        <v>-703.5</v>
      </c>
      <c r="AE487" s="284">
        <v>-3850</v>
      </c>
      <c r="AF487" s="284">
        <v>-3447.5</v>
      </c>
      <c r="AG487" s="284">
        <v>-1267</v>
      </c>
      <c r="AH487" s="284">
        <v>2099.9999999999854</v>
      </c>
      <c r="AI487" s="284">
        <v>-1571.5</v>
      </c>
      <c r="AJ487" s="284">
        <v>8750</v>
      </c>
      <c r="AK487" s="284">
        <v>339.5</v>
      </c>
      <c r="AL487" s="284">
        <v>-175</v>
      </c>
      <c r="AM487" s="284">
        <v>1.4551915228366852E-11</v>
      </c>
      <c r="AN487" s="284">
        <v>-1568</v>
      </c>
      <c r="AO487" s="284">
        <v>875.00000000001455</v>
      </c>
      <c r="AP487" s="284">
        <v>7885.5</v>
      </c>
      <c r="AQ487" s="284">
        <v>3850</v>
      </c>
      <c r="AR487" s="284">
        <v>-2100.0000000000291</v>
      </c>
      <c r="AS487" s="284">
        <v>4018</v>
      </c>
      <c r="AT487" s="284">
        <v>2782.4999999999854</v>
      </c>
      <c r="AU487" s="284">
        <v>-4025</v>
      </c>
      <c r="AV487" s="283">
        <f t="shared" ca="1" si="31"/>
        <v>-4025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34.774999999999999</v>
      </c>
      <c r="G488" s="271">
        <v>34.619900000000001</v>
      </c>
      <c r="H488" s="271">
        <v>33.630899999999997</v>
      </c>
      <c r="I488" s="271">
        <v>33.18</v>
      </c>
      <c r="J488" s="271">
        <v>33.18</v>
      </c>
      <c r="K488" s="271">
        <v>33.26</v>
      </c>
      <c r="L488" s="271">
        <v>33.700000000000003</v>
      </c>
      <c r="M488" s="271">
        <v>34.25</v>
      </c>
      <c r="N488" s="271">
        <v>34.865000000000002</v>
      </c>
      <c r="O488" s="271">
        <v>34.24</v>
      </c>
      <c r="P488" s="271">
        <v>34.585000000000001</v>
      </c>
      <c r="Q488" s="271">
        <v>34.39</v>
      </c>
      <c r="R488" s="271">
        <v>35.19</v>
      </c>
      <c r="S488" s="271">
        <v>35.19</v>
      </c>
      <c r="T488" s="271">
        <v>34.965000000000003</v>
      </c>
      <c r="U488" s="271">
        <v>35.270000000000003</v>
      </c>
      <c r="V488" s="271">
        <v>34.71</v>
      </c>
      <c r="W488" s="271">
        <v>35.045000000000002</v>
      </c>
      <c r="X488" s="271">
        <v>35.18</v>
      </c>
      <c r="Y488" s="271">
        <v>35.76</v>
      </c>
      <c r="Z488" s="273">
        <f ca="1">[1]ExtEntry!$J90</f>
        <v>35.76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76.5398</v>
      </c>
      <c r="G489" s="263">
        <v>76.87</v>
      </c>
      <c r="H489" s="263">
        <v>77.430000000000007</v>
      </c>
      <c r="I489" s="263">
        <v>77.23</v>
      </c>
      <c r="J489" s="263">
        <v>77.23</v>
      </c>
      <c r="K489" s="263">
        <v>74.28</v>
      </c>
      <c r="L489" s="263">
        <v>80.319999999999993</v>
      </c>
      <c r="M489" s="263">
        <v>79.010000000000005</v>
      </c>
      <c r="N489" s="263">
        <v>79.685000000000002</v>
      </c>
      <c r="O489" s="263">
        <v>81.375</v>
      </c>
      <c r="P489" s="263">
        <v>82.25</v>
      </c>
      <c r="Q489" s="263">
        <v>77.099999999999994</v>
      </c>
      <c r="R489" s="263">
        <v>76.375</v>
      </c>
      <c r="S489" s="263">
        <v>76.375</v>
      </c>
      <c r="T489" s="263">
        <v>75.959999999999994</v>
      </c>
      <c r="U489" s="263">
        <v>75.98</v>
      </c>
      <c r="V489" s="263">
        <v>76.67</v>
      </c>
      <c r="W489" s="263">
        <v>76.790000000000006</v>
      </c>
      <c r="X489" s="263">
        <v>74.77</v>
      </c>
      <c r="Y489" s="263">
        <v>74.215000000000003</v>
      </c>
      <c r="Z489" s="265">
        <f ca="1">[1]ExtEntry!$J91</f>
        <v>74.215000000000003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173.6</v>
      </c>
      <c r="G490" s="271">
        <v>173.215</v>
      </c>
      <c r="H490" s="271">
        <v>172.66</v>
      </c>
      <c r="I490" s="271">
        <v>178.78</v>
      </c>
      <c r="J490" s="271">
        <v>178.78</v>
      </c>
      <c r="K490" s="271">
        <v>182.9</v>
      </c>
      <c r="L490" s="271">
        <v>181.89500000000001</v>
      </c>
      <c r="M490" s="271">
        <v>181.35</v>
      </c>
      <c r="N490" s="271">
        <v>183.1</v>
      </c>
      <c r="O490" s="271">
        <v>182.91</v>
      </c>
      <c r="P490" s="271">
        <v>184.68</v>
      </c>
      <c r="Q490" s="271">
        <v>186.05</v>
      </c>
      <c r="R490" s="271">
        <v>186.26</v>
      </c>
      <c r="S490" s="271">
        <v>187.03</v>
      </c>
      <c r="T490" s="271">
        <v>193.46</v>
      </c>
      <c r="U490" s="271">
        <v>196.25</v>
      </c>
      <c r="V490" s="271">
        <v>196.61500000000001</v>
      </c>
      <c r="W490" s="271">
        <v>199.99</v>
      </c>
      <c r="X490" s="271">
        <v>194.74250000000001</v>
      </c>
      <c r="Y490" s="271">
        <v>193.42</v>
      </c>
      <c r="Z490" s="273">
        <f ca="1">[1]ExtEntry!$J92</f>
        <v>193.42</v>
      </c>
      <c r="AB490" s="288">
        <v>7830.75</v>
      </c>
      <c r="AC490" s="288">
        <v>-7088.7500000000582</v>
      </c>
      <c r="AD490" s="288">
        <v>5830</v>
      </c>
      <c r="AE490" s="288">
        <v>1113</v>
      </c>
      <c r="AF490" s="288">
        <v>9805</v>
      </c>
      <c r="AG490" s="288">
        <v>7141.75</v>
      </c>
      <c r="AH490" s="288">
        <v>8148.7500000001164</v>
      </c>
      <c r="AI490" s="288">
        <v>-4717</v>
      </c>
      <c r="AJ490" s="288">
        <v>-4637.5000000000582</v>
      </c>
      <c r="AK490" s="288">
        <v>-10851.750000000058</v>
      </c>
      <c r="AL490" s="288">
        <v>-7843.9999999998836</v>
      </c>
      <c r="AM490" s="288">
        <v>4356.5999999999185</v>
      </c>
      <c r="AN490" s="288">
        <v>4425.4999999998836</v>
      </c>
      <c r="AO490" s="288">
        <v>4876</v>
      </c>
      <c r="AP490" s="288">
        <v>13183.750000000058</v>
      </c>
      <c r="AQ490" s="288">
        <v>-8117.0000000001164</v>
      </c>
      <c r="AR490" s="288">
        <v>4281.8999999999651</v>
      </c>
      <c r="AS490" s="288">
        <v>-19106.999999999942</v>
      </c>
      <c r="AT490" s="288">
        <v>-2868.5</v>
      </c>
      <c r="AU490" s="288">
        <v>-10124</v>
      </c>
      <c r="AV490" s="287">
        <f t="shared" ca="1" si="31"/>
        <v>-10124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16.085000000000001</v>
      </c>
      <c r="G492" s="271">
        <v>16.03</v>
      </c>
      <c r="H492" s="271">
        <v>15.965</v>
      </c>
      <c r="I492" s="271">
        <v>15.865</v>
      </c>
      <c r="J492" s="271">
        <v>15.865</v>
      </c>
      <c r="K492" s="271">
        <v>15.805</v>
      </c>
      <c r="L492" s="271">
        <v>15.425000000000001</v>
      </c>
      <c r="M492" s="271">
        <v>15.64</v>
      </c>
      <c r="N492" s="271">
        <v>15.72</v>
      </c>
      <c r="O492" s="271">
        <v>15.75</v>
      </c>
      <c r="P492" s="271">
        <v>15.29</v>
      </c>
      <c r="Q492" s="271">
        <v>15.04</v>
      </c>
      <c r="R492" s="271">
        <v>14.744999999999999</v>
      </c>
      <c r="S492" s="271">
        <v>15.11</v>
      </c>
      <c r="T492" s="271">
        <v>15.045</v>
      </c>
      <c r="U492" s="271">
        <v>15.4</v>
      </c>
      <c r="V492" s="271">
        <v>15.465</v>
      </c>
      <c r="W492" s="271">
        <v>15.4</v>
      </c>
      <c r="X492" s="271">
        <v>15.435</v>
      </c>
      <c r="Y492" s="271">
        <v>15.6</v>
      </c>
      <c r="Z492" s="273">
        <f ca="1">[1]ExtEntry!$J94</f>
        <v>15.6</v>
      </c>
      <c r="AB492" s="288">
        <v>-1020</v>
      </c>
      <c r="AC492" s="288">
        <v>-6360.0000000000291</v>
      </c>
      <c r="AD492" s="288">
        <v>-6360</v>
      </c>
      <c r="AE492" s="288">
        <v>960</v>
      </c>
      <c r="AF492" s="288">
        <v>-4740</v>
      </c>
      <c r="AG492" s="288">
        <v>-1620</v>
      </c>
      <c r="AH492" s="288">
        <v>2400.0000000000291</v>
      </c>
      <c r="AI492" s="288">
        <v>2220</v>
      </c>
      <c r="AJ492" s="288">
        <v>1560</v>
      </c>
      <c r="AK492" s="288">
        <v>-1320</v>
      </c>
      <c r="AL492" s="288">
        <v>-60</v>
      </c>
      <c r="AM492" s="288">
        <v>-6005</v>
      </c>
      <c r="AN492" s="288">
        <v>-1500</v>
      </c>
      <c r="AO492" s="288">
        <v>2675</v>
      </c>
      <c r="AP492" s="288">
        <v>4730</v>
      </c>
      <c r="AQ492" s="288">
        <v>3740</v>
      </c>
      <c r="AR492" s="288">
        <v>4845</v>
      </c>
      <c r="AS492" s="288">
        <v>2380</v>
      </c>
      <c r="AT492" s="288">
        <v>-3740</v>
      </c>
      <c r="AU492" s="288">
        <v>765</v>
      </c>
      <c r="AV492" s="287">
        <f t="shared" ca="1" si="31"/>
        <v>765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9.77</v>
      </c>
      <c r="G493" s="367">
        <v>9.6359999999999992</v>
      </c>
      <c r="H493" s="263">
        <v>9.6790000000000003</v>
      </c>
      <c r="I493" s="263">
        <v>9.7289999999999992</v>
      </c>
      <c r="J493" s="263">
        <v>9.7289999999999992</v>
      </c>
      <c r="K493" s="263">
        <v>9.6479999999999997</v>
      </c>
      <c r="L493" s="263">
        <v>9.8070000000000004</v>
      </c>
      <c r="M493" s="263">
        <v>9.7490000000000006</v>
      </c>
      <c r="N493" s="263">
        <v>9.8710000000000004</v>
      </c>
      <c r="O493" s="263">
        <v>9.9740000000000002</v>
      </c>
      <c r="P493" s="263">
        <v>10</v>
      </c>
      <c r="Q493" s="263">
        <v>9.9960000000000004</v>
      </c>
      <c r="R493" s="263">
        <v>9.8979999999999997</v>
      </c>
      <c r="S493" s="263">
        <v>9.9130000000000003</v>
      </c>
      <c r="T493" s="263">
        <v>10.034000000000001</v>
      </c>
      <c r="U493" s="263">
        <v>10.178000000000001</v>
      </c>
      <c r="V493" s="263">
        <v>10.246</v>
      </c>
      <c r="W493" s="263">
        <v>10.378</v>
      </c>
      <c r="X493" s="263">
        <v>10.398</v>
      </c>
      <c r="Y493" s="263">
        <v>10.396000000000001</v>
      </c>
      <c r="Z493" s="265">
        <f ca="1">[1]ExtEntry!$J95</f>
        <v>10.396000000000001</v>
      </c>
      <c r="AB493" s="284">
        <v>2968.3499999998603</v>
      </c>
      <c r="AC493" s="284">
        <v>-4618.2899999999208</v>
      </c>
      <c r="AD493" s="284">
        <v>154.19999999983702</v>
      </c>
      <c r="AE493" s="284">
        <v>-6784.7999999999302</v>
      </c>
      <c r="AF493" s="284">
        <v>-5088.5999999997439</v>
      </c>
      <c r="AG493" s="284">
        <v>8481</v>
      </c>
      <c r="AH493" s="284">
        <v>20655.089999999851</v>
      </c>
      <c r="AI493" s="284">
        <v>-231.29999999993015</v>
      </c>
      <c r="AJ493" s="284">
        <v>9251.9999999997672</v>
      </c>
      <c r="AK493" s="284">
        <v>6861.8999999999069</v>
      </c>
      <c r="AL493" s="284">
        <v>5551.2000000000698</v>
      </c>
      <c r="AM493" s="284">
        <v>-31842.29999999993</v>
      </c>
      <c r="AN493" s="284">
        <v>-20662.800000000047</v>
      </c>
      <c r="AO493" s="284">
        <v>-1156.5</v>
      </c>
      <c r="AP493" s="284">
        <v>-5628.2999999999302</v>
      </c>
      <c r="AQ493" s="284">
        <v>2158.8000000000466</v>
      </c>
      <c r="AR493" s="284">
        <v>11179.5</v>
      </c>
      <c r="AS493" s="284">
        <v>1079.4000000000233</v>
      </c>
      <c r="AT493" s="284">
        <v>9252</v>
      </c>
      <c r="AU493" s="284">
        <v>-4703.1000000000931</v>
      </c>
      <c r="AV493" s="283">
        <f t="shared" ca="1" si="31"/>
        <v>-4703.1000000000931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45887</v>
      </c>
      <c r="G498" s="128">
        <f t="shared" si="33"/>
        <v>45888</v>
      </c>
      <c r="H498" s="128">
        <f t="shared" si="33"/>
        <v>45889</v>
      </c>
      <c r="I498" s="128">
        <f t="shared" si="33"/>
        <v>45890</v>
      </c>
      <c r="J498" s="128">
        <f t="shared" si="33"/>
        <v>45891</v>
      </c>
      <c r="K498" s="128">
        <f t="shared" si="33"/>
        <v>45894</v>
      </c>
      <c r="L498" s="128">
        <f t="shared" si="33"/>
        <v>45895</v>
      </c>
      <c r="M498" s="128">
        <f t="shared" si="33"/>
        <v>45896</v>
      </c>
      <c r="N498" s="128">
        <f t="shared" si="33"/>
        <v>45897</v>
      </c>
      <c r="O498" s="128">
        <f t="shared" si="33"/>
        <v>45898</v>
      </c>
      <c r="P498" s="128">
        <f t="shared" si="33"/>
        <v>45901</v>
      </c>
      <c r="Q498" s="128">
        <f t="shared" si="33"/>
        <v>45902</v>
      </c>
      <c r="R498" s="128">
        <f t="shared" si="33"/>
        <v>45903</v>
      </c>
      <c r="S498" s="128">
        <f t="shared" si="33"/>
        <v>45904</v>
      </c>
      <c r="T498" s="128">
        <f t="shared" si="33"/>
        <v>45905</v>
      </c>
      <c r="U498" s="128">
        <f t="shared" si="33"/>
        <v>45908</v>
      </c>
      <c r="V498" s="128">
        <f t="shared" si="33"/>
        <v>45909</v>
      </c>
      <c r="W498" s="128">
        <f t="shared" si="33"/>
        <v>45910</v>
      </c>
      <c r="X498" s="128">
        <f t="shared" si="33"/>
        <v>45911</v>
      </c>
      <c r="Y498" s="128">
        <f t="shared" si="33"/>
        <v>45912</v>
      </c>
      <c r="Z498" s="128">
        <f t="shared" ca="1" si="33"/>
        <v>45912</v>
      </c>
      <c r="AB498" s="128">
        <f t="shared" ref="AB498:AV498" si="34">F399</f>
        <v>45887</v>
      </c>
      <c r="AC498" s="128">
        <f t="shared" si="34"/>
        <v>45888</v>
      </c>
      <c r="AD498" s="128">
        <f t="shared" si="34"/>
        <v>45889</v>
      </c>
      <c r="AE498" s="128">
        <f t="shared" si="34"/>
        <v>45890</v>
      </c>
      <c r="AF498" s="128">
        <f t="shared" si="34"/>
        <v>45891</v>
      </c>
      <c r="AG498" s="128">
        <f t="shared" si="34"/>
        <v>45894</v>
      </c>
      <c r="AH498" s="128">
        <f t="shared" si="34"/>
        <v>45895</v>
      </c>
      <c r="AI498" s="128">
        <f t="shared" si="34"/>
        <v>45896</v>
      </c>
      <c r="AJ498" s="128">
        <f t="shared" si="34"/>
        <v>45897</v>
      </c>
      <c r="AK498" s="128">
        <f t="shared" si="34"/>
        <v>45898</v>
      </c>
      <c r="AL498" s="128">
        <f t="shared" si="34"/>
        <v>45901</v>
      </c>
      <c r="AM498" s="128">
        <f t="shared" si="34"/>
        <v>45902</v>
      </c>
      <c r="AN498" s="128">
        <f t="shared" si="34"/>
        <v>45903</v>
      </c>
      <c r="AO498" s="128">
        <f t="shared" si="34"/>
        <v>45904</v>
      </c>
      <c r="AP498" s="128">
        <f t="shared" si="34"/>
        <v>45905</v>
      </c>
      <c r="AQ498" s="128">
        <f t="shared" si="34"/>
        <v>45908</v>
      </c>
      <c r="AR498" s="128">
        <f t="shared" si="34"/>
        <v>45909</v>
      </c>
      <c r="AS498" s="128">
        <f t="shared" si="34"/>
        <v>45910</v>
      </c>
      <c r="AT498" s="128">
        <f t="shared" si="34"/>
        <v>45911</v>
      </c>
      <c r="AU498" s="128">
        <f t="shared" si="34"/>
        <v>45912</v>
      </c>
      <c r="AV498" s="128">
        <f t="shared" ca="1" si="34"/>
        <v>45912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32.023499999999999</v>
      </c>
      <c r="G500" s="263">
        <v>31.893899999999999</v>
      </c>
      <c r="H500" s="263">
        <v>31.862100000000002</v>
      </c>
      <c r="I500" s="263">
        <v>31.7394</v>
      </c>
      <c r="J500" s="263">
        <v>31.7394</v>
      </c>
      <c r="K500" s="263">
        <v>31.172499999999999</v>
      </c>
      <c r="L500" s="263">
        <v>31.413699999999999</v>
      </c>
      <c r="M500" s="263">
        <v>31.627700000000001</v>
      </c>
      <c r="N500" s="263">
        <v>31.790400000000002</v>
      </c>
      <c r="O500" s="263">
        <v>31.915900000000001</v>
      </c>
      <c r="P500" s="263">
        <v>32.075800000000001</v>
      </c>
      <c r="Q500" s="263">
        <v>31.388999999999999</v>
      </c>
      <c r="R500" s="263">
        <v>32.577300000000001</v>
      </c>
      <c r="S500" s="263">
        <v>32.890900000000002</v>
      </c>
      <c r="T500" s="263">
        <v>33.071599999999997</v>
      </c>
      <c r="U500" s="263">
        <v>32.809699999999999</v>
      </c>
      <c r="V500" s="263">
        <v>32.8095</v>
      </c>
      <c r="W500" s="263">
        <v>31.280100000000001</v>
      </c>
      <c r="X500" s="263">
        <v>31.778700000000001</v>
      </c>
      <c r="Y500" s="263">
        <v>31.726800000000001</v>
      </c>
      <c r="Z500" s="265">
        <f ca="1">[1]ExtEntry!$K3</f>
        <v>31.726800000000001</v>
      </c>
      <c r="AB500" s="284">
        <v>2577198</v>
      </c>
      <c r="AC500" s="284">
        <v>2566764</v>
      </c>
      <c r="AD500" s="284">
        <v>2564211</v>
      </c>
      <c r="AE500" s="284">
        <v>2554332</v>
      </c>
      <c r="AF500" s="284">
        <v>2554332</v>
      </c>
      <c r="AG500" s="284">
        <v>2508711</v>
      </c>
      <c r="AH500" s="284">
        <v>2521476</v>
      </c>
      <c r="AI500" s="284">
        <v>2545341</v>
      </c>
      <c r="AJ500" s="284">
        <v>2558439</v>
      </c>
      <c r="AK500" s="284">
        <v>2568538.89</v>
      </c>
      <c r="AL500" s="284">
        <v>2576754</v>
      </c>
      <c r="AM500" s="284">
        <v>2526135.7800000003</v>
      </c>
      <c r="AN500" s="284">
        <v>2621768.94</v>
      </c>
      <c r="AO500" s="284">
        <v>2647017</v>
      </c>
      <c r="AP500" s="284">
        <v>2661558</v>
      </c>
      <c r="AQ500" s="284">
        <v>2640468</v>
      </c>
      <c r="AR500" s="284">
        <v>2601285</v>
      </c>
      <c r="AS500" s="284">
        <v>2517369</v>
      </c>
      <c r="AT500" s="284">
        <v>2488374</v>
      </c>
      <c r="AU500" s="284">
        <v>2527956</v>
      </c>
      <c r="AV500" s="284">
        <f ca="1">Calc!F3</f>
        <v>2527956</v>
      </c>
      <c r="AX500" s="97" t="str">
        <f t="shared" ca="1" si="30"/>
        <v>AAPL</v>
      </c>
      <c r="AY500" s="90">
        <f>Tab2MarketValue[[#This Row],[M_Val19]]-Tab2MarketValue[[#This Row],[M_Val18]]</f>
        <v>39582</v>
      </c>
    </row>
    <row r="501" spans="1:51" x14ac:dyDescent="0.3">
      <c r="A501" s="97" t="str">
        <f t="shared" ref="A501:A564" ca="1" si="35">A402</f>
        <v>ADEA</v>
      </c>
      <c r="F501" s="271">
        <v>19.9528</v>
      </c>
      <c r="G501" s="271">
        <v>20.0809</v>
      </c>
      <c r="H501" s="271">
        <v>20.215800000000002</v>
      </c>
      <c r="I501" s="271">
        <v>19.932600000000001</v>
      </c>
      <c r="J501" s="271">
        <v>19.932600000000001</v>
      </c>
      <c r="K501" s="271">
        <v>19.581900000000001</v>
      </c>
      <c r="L501" s="271">
        <v>21.011500000000002</v>
      </c>
      <c r="M501" s="271">
        <v>20.7148</v>
      </c>
      <c r="N501" s="271">
        <v>20.984500000000001</v>
      </c>
      <c r="O501" s="271">
        <v>20.836099999999998</v>
      </c>
      <c r="P501" s="271">
        <v>20.877199999999998</v>
      </c>
      <c r="Q501" s="271">
        <v>20</v>
      </c>
      <c r="R501" s="271">
        <v>20.161799999999999</v>
      </c>
      <c r="S501" s="271">
        <v>20.580500000000001</v>
      </c>
      <c r="T501" s="271">
        <v>20.782800000000002</v>
      </c>
      <c r="U501" s="271">
        <v>20.728300000000001</v>
      </c>
      <c r="V501" s="271">
        <v>20.7013</v>
      </c>
      <c r="W501" s="271">
        <v>20.377600000000001</v>
      </c>
      <c r="X501" s="271">
        <v>21.105899999999998</v>
      </c>
      <c r="Y501" s="271">
        <v>21.105899999999998</v>
      </c>
      <c r="Z501" s="265">
        <f ca="1">[1]ExtEntry!$K4</f>
        <v>21.105899999999998</v>
      </c>
      <c r="AB501" s="288">
        <v>88770</v>
      </c>
      <c r="AC501" s="288">
        <v>89340</v>
      </c>
      <c r="AD501" s="288">
        <v>89940</v>
      </c>
      <c r="AE501" s="288">
        <v>88680</v>
      </c>
      <c r="AF501" s="288">
        <v>88680</v>
      </c>
      <c r="AG501" s="288">
        <v>87120</v>
      </c>
      <c r="AH501" s="288">
        <v>93480</v>
      </c>
      <c r="AI501" s="288">
        <v>92160</v>
      </c>
      <c r="AJ501" s="288">
        <v>93360</v>
      </c>
      <c r="AK501" s="288">
        <v>92700</v>
      </c>
      <c r="AL501" s="288">
        <v>90240</v>
      </c>
      <c r="AM501" s="288">
        <v>88980</v>
      </c>
      <c r="AN501" s="288">
        <v>89700</v>
      </c>
      <c r="AO501" s="288">
        <v>91560</v>
      </c>
      <c r="AP501" s="288">
        <v>92460</v>
      </c>
      <c r="AQ501" s="288">
        <v>92220</v>
      </c>
      <c r="AR501" s="288">
        <v>92100</v>
      </c>
      <c r="AS501" s="288">
        <v>90660</v>
      </c>
      <c r="AT501" s="288">
        <v>93900</v>
      </c>
      <c r="AU501" s="288">
        <v>93900</v>
      </c>
      <c r="AV501" s="288">
        <f ca="1">Calc!F4</f>
        <v>93900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2.5215999999999998</v>
      </c>
      <c r="G502" s="263">
        <v>2.4767999999999999</v>
      </c>
      <c r="H502" s="263">
        <v>2.4891999999999999</v>
      </c>
      <c r="I502" s="263">
        <v>2.5053999999999998</v>
      </c>
      <c r="J502" s="263">
        <v>2.5053999999999998</v>
      </c>
      <c r="K502" s="263">
        <v>2.5065</v>
      </c>
      <c r="L502" s="263">
        <v>2.6238999999999999</v>
      </c>
      <c r="M502" s="263">
        <v>2.6400999999999999</v>
      </c>
      <c r="N502" s="263">
        <v>2.6400999999999999</v>
      </c>
      <c r="O502" s="263">
        <v>2.6116999999999999</v>
      </c>
      <c r="P502" s="263">
        <v>2.7534999999999998</v>
      </c>
      <c r="Q502" s="263">
        <v>2.8016999999999999</v>
      </c>
      <c r="R502" s="263">
        <v>2.7694000000000001</v>
      </c>
      <c r="S502" s="263">
        <v>2.7263000000000002</v>
      </c>
      <c r="T502" s="263">
        <v>2.9095</v>
      </c>
      <c r="U502" s="263">
        <v>2.931</v>
      </c>
      <c r="V502" s="263">
        <v>2.9342999999999999</v>
      </c>
      <c r="W502" s="263">
        <v>2.9418000000000002</v>
      </c>
      <c r="X502" s="263">
        <v>2.7585999999999999</v>
      </c>
      <c r="Y502" s="263">
        <v>4.4618000000000002</v>
      </c>
      <c r="Z502" s="265">
        <f ca="1">[1]ExtEntry!$K5</f>
        <v>4.4618000000000002</v>
      </c>
      <c r="AB502" s="284">
        <v>365040</v>
      </c>
      <c r="AC502" s="284">
        <v>358566</v>
      </c>
      <c r="AD502" s="284">
        <v>360360</v>
      </c>
      <c r="AE502" s="284">
        <v>362700</v>
      </c>
      <c r="AF502" s="284">
        <v>362700</v>
      </c>
      <c r="AG502" s="284">
        <v>357240</v>
      </c>
      <c r="AH502" s="284">
        <v>379860</v>
      </c>
      <c r="AI502" s="284">
        <v>382200</v>
      </c>
      <c r="AJ502" s="284">
        <v>377520</v>
      </c>
      <c r="AK502" s="284">
        <v>378086.28</v>
      </c>
      <c r="AL502" s="284">
        <v>398614.32</v>
      </c>
      <c r="AM502" s="284">
        <v>405600</v>
      </c>
      <c r="AN502" s="284">
        <v>400920</v>
      </c>
      <c r="AO502" s="284">
        <v>394680</v>
      </c>
      <c r="AP502" s="284">
        <v>421200</v>
      </c>
      <c r="AQ502" s="284">
        <v>429000</v>
      </c>
      <c r="AR502" s="284">
        <v>425880</v>
      </c>
      <c r="AS502" s="284">
        <v>402480</v>
      </c>
      <c r="AT502" s="284">
        <v>399360</v>
      </c>
      <c r="AU502" s="284">
        <v>400920</v>
      </c>
      <c r="AV502" s="284">
        <f ca="1">Calc!F5</f>
        <v>400920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35.242800000000003</v>
      </c>
      <c r="G503" s="271">
        <v>35.338500000000003</v>
      </c>
      <c r="H503" s="271">
        <v>35.127899999999997</v>
      </c>
      <c r="I503" s="271">
        <v>34.715899999999998</v>
      </c>
      <c r="J503" s="271">
        <v>34.715899999999998</v>
      </c>
      <c r="K503" s="271">
        <v>34.152799999999999</v>
      </c>
      <c r="L503" s="271">
        <v>34.783000000000001</v>
      </c>
      <c r="M503" s="271">
        <v>34.900500000000001</v>
      </c>
      <c r="N503" s="271">
        <v>34.963099999999997</v>
      </c>
      <c r="O503" s="271">
        <v>35.485999999999997</v>
      </c>
      <c r="P503" s="271">
        <v>35.3416</v>
      </c>
      <c r="Q503" s="271">
        <v>33.933500000000002</v>
      </c>
      <c r="R503" s="271">
        <v>34.483899999999998</v>
      </c>
      <c r="S503" s="271">
        <v>34.485500000000002</v>
      </c>
      <c r="T503" s="271">
        <v>35.964199999999998</v>
      </c>
      <c r="U503" s="271">
        <v>35.988500000000002</v>
      </c>
      <c r="V503" s="271">
        <v>36.354799999999997</v>
      </c>
      <c r="W503" s="271">
        <v>36.354900000000001</v>
      </c>
      <c r="X503" s="271">
        <v>35.119500000000002</v>
      </c>
      <c r="Y503" s="271">
        <v>34.815100000000001</v>
      </c>
      <c r="Z503" s="265">
        <f ca="1">[1]ExtEntry!$K6</f>
        <v>34.815100000000001</v>
      </c>
      <c r="AB503" s="288">
        <v>2817629.04</v>
      </c>
      <c r="AC503" s="288">
        <v>2825276</v>
      </c>
      <c r="AD503" s="288">
        <v>2808440</v>
      </c>
      <c r="AE503" s="288">
        <v>2775500</v>
      </c>
      <c r="AF503" s="288">
        <v>2775500</v>
      </c>
      <c r="AG503" s="288">
        <v>2730482</v>
      </c>
      <c r="AH503" s="288">
        <v>2780868</v>
      </c>
      <c r="AI503" s="288">
        <v>2790262</v>
      </c>
      <c r="AJ503" s="288">
        <v>2795264</v>
      </c>
      <c r="AK503" s="288">
        <v>2837074.62</v>
      </c>
      <c r="AL503" s="288">
        <v>2793800</v>
      </c>
      <c r="AM503" s="288">
        <v>2712949.38</v>
      </c>
      <c r="AN503" s="288">
        <v>2756956</v>
      </c>
      <c r="AO503" s="288">
        <v>2757078</v>
      </c>
      <c r="AP503" s="288">
        <v>2875296</v>
      </c>
      <c r="AQ503" s="288">
        <v>2877248</v>
      </c>
      <c r="AR503" s="288">
        <v>2906528</v>
      </c>
      <c r="AS503" s="288">
        <v>2810026</v>
      </c>
      <c r="AT503" s="288">
        <v>2807769</v>
      </c>
      <c r="AU503" s="288">
        <v>2783430</v>
      </c>
      <c r="AV503" s="288">
        <f ca="1">Calc!F6</f>
        <v>2783430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2378200</v>
      </c>
      <c r="AD504" s="284">
        <v>2428800</v>
      </c>
      <c r="AE504" s="284">
        <v>2398440</v>
      </c>
      <c r="AF504" s="284">
        <v>2398440</v>
      </c>
      <c r="AG504" s="284">
        <v>2378200</v>
      </c>
      <c r="AH504" s="284">
        <v>2322540</v>
      </c>
      <c r="AI504" s="284">
        <v>2302300</v>
      </c>
      <c r="AJ504" s="284">
        <v>2322540</v>
      </c>
      <c r="AK504" s="284">
        <v>2322540</v>
      </c>
      <c r="AL504" s="284">
        <v>2307360</v>
      </c>
      <c r="AM504" s="284">
        <v>2277000</v>
      </c>
      <c r="AN504" s="284">
        <v>2347840</v>
      </c>
      <c r="AO504" s="284">
        <v>2277000</v>
      </c>
      <c r="AP504" s="284">
        <v>2256760</v>
      </c>
      <c r="AQ504" s="284">
        <v>2251700</v>
      </c>
      <c r="AR504" s="284">
        <v>2282060</v>
      </c>
      <c r="AS504" s="284">
        <v>2297240</v>
      </c>
      <c r="AT504" s="284">
        <v>2246640</v>
      </c>
      <c r="AU504" s="284">
        <v>2251700</v>
      </c>
      <c r="AV504" s="284">
        <f ca="1">Calc!F7</f>
        <v>2251700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24.685099999999998</v>
      </c>
      <c r="G505" s="271">
        <v>24.454699999999999</v>
      </c>
      <c r="H505" s="271">
        <v>24.404800000000002</v>
      </c>
      <c r="I505" s="271">
        <v>24.661999999999999</v>
      </c>
      <c r="J505" s="271">
        <v>24.661999999999999</v>
      </c>
      <c r="K505" s="271">
        <v>24.5046</v>
      </c>
      <c r="L505" s="271">
        <v>24.831</v>
      </c>
      <c r="M505" s="271">
        <v>24.980699999999999</v>
      </c>
      <c r="N505" s="271">
        <v>24.980699999999999</v>
      </c>
      <c r="O505" s="271">
        <v>25.130500000000001</v>
      </c>
      <c r="P505" s="271">
        <v>24.412400000000002</v>
      </c>
      <c r="Q505" s="271">
        <v>23.6906</v>
      </c>
      <c r="R505" s="271">
        <v>24.1936</v>
      </c>
      <c r="S505" s="271">
        <v>24.3203</v>
      </c>
      <c r="T505" s="271">
        <v>25.4376</v>
      </c>
      <c r="U505" s="271">
        <v>25.978999999999999</v>
      </c>
      <c r="V505" s="271">
        <v>26.232399999999998</v>
      </c>
      <c r="W505" s="271">
        <v>26.232399999999998</v>
      </c>
      <c r="X505" s="271">
        <v>26.3399</v>
      </c>
      <c r="Y505" s="271">
        <v>26.485800000000001</v>
      </c>
      <c r="Z505" s="265">
        <f ca="1">[1]ExtEntry!$K8</f>
        <v>26.485800000000001</v>
      </c>
      <c r="AB505" s="288">
        <v>3857400</v>
      </c>
      <c r="AC505" s="288">
        <v>3821400</v>
      </c>
      <c r="AD505" s="288">
        <v>3813600</v>
      </c>
      <c r="AE505" s="288">
        <v>3853799.9999999995</v>
      </c>
      <c r="AF505" s="288">
        <v>3853799.9999999995</v>
      </c>
      <c r="AG505" s="288">
        <v>3829200.0000000005</v>
      </c>
      <c r="AH505" s="288">
        <v>3233500</v>
      </c>
      <c r="AI505" s="288">
        <v>3253000</v>
      </c>
      <c r="AJ505" s="288">
        <v>3301000</v>
      </c>
      <c r="AK505" s="288">
        <v>3272500</v>
      </c>
      <c r="AL505" s="288">
        <v>3179000</v>
      </c>
      <c r="AM505" s="288">
        <v>3393500</v>
      </c>
      <c r="AN505" s="288">
        <v>3465550</v>
      </c>
      <c r="AO505" s="288">
        <v>3483700</v>
      </c>
      <c r="AP505" s="288">
        <v>3643750</v>
      </c>
      <c r="AQ505" s="288">
        <v>3585980</v>
      </c>
      <c r="AR505" s="288">
        <v>3620960.0000000005</v>
      </c>
      <c r="AS505" s="288">
        <v>3605060.0000000005</v>
      </c>
      <c r="AT505" s="288">
        <v>3635800</v>
      </c>
      <c r="AU505" s="288">
        <v>3655939.9999999995</v>
      </c>
      <c r="AV505" s="288">
        <f ca="1">Calc!F8</f>
        <v>3655939.9999999995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29.449200000000001</v>
      </c>
      <c r="G506" s="271">
        <v>29.616700000000002</v>
      </c>
      <c r="H506" s="271">
        <v>29.925899999999999</v>
      </c>
      <c r="I506" s="271">
        <v>29.9575</v>
      </c>
      <c r="J506" s="271">
        <v>29.9575</v>
      </c>
      <c r="K506" s="271">
        <v>30.315100000000001</v>
      </c>
      <c r="L506" s="271">
        <v>29.991299999999999</v>
      </c>
      <c r="M506" s="271">
        <v>30.138200000000001</v>
      </c>
      <c r="N506" s="271">
        <v>30.093</v>
      </c>
      <c r="O506" s="271">
        <v>29.991299999999999</v>
      </c>
      <c r="P506" s="271">
        <v>30.081700000000001</v>
      </c>
      <c r="Q506" s="271">
        <v>29.946200000000001</v>
      </c>
      <c r="R506" s="271">
        <v>30.729299999999999</v>
      </c>
      <c r="S506" s="271">
        <v>30.913499999999999</v>
      </c>
      <c r="T506" s="271">
        <v>30.789200000000001</v>
      </c>
      <c r="U506" s="271">
        <v>30.706700000000001</v>
      </c>
      <c r="V506" s="271">
        <v>30.706399999999999</v>
      </c>
      <c r="W506" s="271">
        <v>30.424299999999999</v>
      </c>
      <c r="X506" s="271">
        <v>30.558</v>
      </c>
      <c r="Y506" s="271">
        <v>29.953700000000001</v>
      </c>
      <c r="Z506" s="265">
        <f ca="1">[1]ExtEntry!$K9</f>
        <v>29.953700000000001</v>
      </c>
      <c r="AB506" s="284">
        <v>234660</v>
      </c>
      <c r="AC506" s="284">
        <v>235995.00000000003</v>
      </c>
      <c r="AD506" s="284">
        <v>238458.9</v>
      </c>
      <c r="AE506" s="284">
        <v>79570</v>
      </c>
      <c r="AF506" s="284">
        <v>79570</v>
      </c>
      <c r="AG506" s="284">
        <v>80520</v>
      </c>
      <c r="AH506" s="284">
        <v>79660</v>
      </c>
      <c r="AI506" s="284">
        <v>80050</v>
      </c>
      <c r="AJ506" s="284">
        <v>79930</v>
      </c>
      <c r="AK506" s="284">
        <v>79660</v>
      </c>
      <c r="AL506" s="284">
        <v>79900</v>
      </c>
      <c r="AM506" s="284">
        <v>79540</v>
      </c>
      <c r="AN506" s="284">
        <v>81620</v>
      </c>
      <c r="AO506" s="284">
        <v>82110</v>
      </c>
      <c r="AP506" s="284">
        <v>81780</v>
      </c>
      <c r="AQ506" s="284">
        <v>81560</v>
      </c>
      <c r="AR506" s="284">
        <v>81220</v>
      </c>
      <c r="AS506" s="284">
        <v>80810</v>
      </c>
      <c r="AT506" s="284">
        <v>81165</v>
      </c>
      <c r="AU506" s="284">
        <v>79560</v>
      </c>
      <c r="AV506" s="284">
        <f ca="1">Calc!F9</f>
        <v>79560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46410</v>
      </c>
      <c r="AC507" s="288">
        <v>48861.799999999996</v>
      </c>
      <c r="AD507" s="288">
        <v>51220</v>
      </c>
      <c r="AE507" s="288">
        <v>50570</v>
      </c>
      <c r="AF507" s="288">
        <v>50570</v>
      </c>
      <c r="AG507" s="288">
        <v>49400</v>
      </c>
      <c r="AH507" s="288">
        <v>52259.999999999993</v>
      </c>
      <c r="AI507" s="288">
        <v>53560</v>
      </c>
      <c r="AJ507" s="288">
        <v>52520</v>
      </c>
      <c r="AK507" s="288">
        <v>53266.200000000004</v>
      </c>
      <c r="AL507" s="288">
        <v>52520</v>
      </c>
      <c r="AM507" s="288">
        <v>48880</v>
      </c>
      <c r="AN507" s="288">
        <v>49397.4</v>
      </c>
      <c r="AO507" s="288">
        <v>49140</v>
      </c>
      <c r="AP507" s="288">
        <v>48100</v>
      </c>
      <c r="AQ507" s="288">
        <v>50440</v>
      </c>
      <c r="AR507" s="288">
        <v>49140</v>
      </c>
      <c r="AS507" s="288">
        <v>50180</v>
      </c>
      <c r="AT507" s="288">
        <v>52910.000000000007</v>
      </c>
      <c r="AU507" s="288">
        <v>53819.999999999993</v>
      </c>
      <c r="AV507" s="288">
        <f ca="1">Calc!F10</f>
        <v>53819.999999999993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45625</v>
      </c>
      <c r="AC508" s="284">
        <v>39125</v>
      </c>
      <c r="AD508" s="284">
        <v>39250</v>
      </c>
      <c r="AE508" s="284">
        <v>38250</v>
      </c>
      <c r="AF508" s="284">
        <v>38250</v>
      </c>
      <c r="AG508" s="284">
        <v>40125</v>
      </c>
      <c r="AH508" s="284">
        <v>42875</v>
      </c>
      <c r="AI508" s="284">
        <v>41125</v>
      </c>
      <c r="AJ508" s="284">
        <v>39375</v>
      </c>
      <c r="AK508" s="284">
        <v>40500</v>
      </c>
      <c r="AL508" s="284">
        <v>39125</v>
      </c>
      <c r="AM508" s="284">
        <v>38125</v>
      </c>
      <c r="AN508" s="284">
        <v>36000</v>
      </c>
      <c r="AO508" s="284">
        <v>35625</v>
      </c>
      <c r="AP508" s="284">
        <v>35250</v>
      </c>
      <c r="AQ508" s="284">
        <v>36375</v>
      </c>
      <c r="AR508" s="284">
        <v>36375</v>
      </c>
      <c r="AS508" s="284">
        <v>36625</v>
      </c>
      <c r="AT508" s="284">
        <v>37125</v>
      </c>
      <c r="AU508" s="284">
        <v>37250</v>
      </c>
      <c r="AV508" s="284">
        <f ca="1">Calc!F11</f>
        <v>37250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13.9619</v>
      </c>
      <c r="G509" s="271">
        <v>13.921200000000001</v>
      </c>
      <c r="H509" s="271">
        <v>13.8828</v>
      </c>
      <c r="I509" s="271">
        <v>13.821400000000001</v>
      </c>
      <c r="J509" s="271">
        <v>13.821400000000001</v>
      </c>
      <c r="K509" s="271">
        <v>13.7682</v>
      </c>
      <c r="L509" s="271">
        <v>14.038</v>
      </c>
      <c r="M509" s="271">
        <v>14.1518</v>
      </c>
      <c r="N509" s="271">
        <v>14.3248</v>
      </c>
      <c r="O509" s="271">
        <v>14.338100000000001</v>
      </c>
      <c r="P509" s="271">
        <v>14.312900000000001</v>
      </c>
      <c r="Q509" s="271">
        <v>13.8451</v>
      </c>
      <c r="R509" s="271">
        <v>14.0025</v>
      </c>
      <c r="S509" s="271">
        <v>14.048299999999999</v>
      </c>
      <c r="T509" s="271">
        <v>14.3513</v>
      </c>
      <c r="U509" s="271">
        <v>14.1784</v>
      </c>
      <c r="V509" s="271">
        <v>14.386900000000001</v>
      </c>
      <c r="W509" s="271">
        <v>14.366899999999999</v>
      </c>
      <c r="X509" s="271">
        <v>14.602</v>
      </c>
      <c r="Y509" s="271">
        <v>14.706200000000001</v>
      </c>
      <c r="Z509" s="265">
        <f ca="1">[1]ExtEntry!$K12</f>
        <v>14.706200000000001</v>
      </c>
      <c r="AB509" s="288">
        <v>9444.5</v>
      </c>
      <c r="AC509" s="288">
        <v>9417</v>
      </c>
      <c r="AD509" s="288">
        <v>9391</v>
      </c>
      <c r="AE509" s="288">
        <v>9349.5</v>
      </c>
      <c r="AF509" s="288">
        <v>9349.5</v>
      </c>
      <c r="AG509" s="288">
        <v>9313.5</v>
      </c>
      <c r="AH509" s="288">
        <v>9496</v>
      </c>
      <c r="AI509" s="288">
        <v>9573</v>
      </c>
      <c r="AJ509" s="288">
        <v>9690</v>
      </c>
      <c r="AK509" s="288">
        <v>9699</v>
      </c>
      <c r="AL509" s="288">
        <v>9657</v>
      </c>
      <c r="AM509" s="288">
        <v>9365.5</v>
      </c>
      <c r="AN509" s="288">
        <v>9472</v>
      </c>
      <c r="AO509" s="288">
        <v>9503</v>
      </c>
      <c r="AP509" s="288">
        <v>9708</v>
      </c>
      <c r="AQ509" s="288">
        <v>9591</v>
      </c>
      <c r="AR509" s="288">
        <v>9732</v>
      </c>
      <c r="AS509" s="288">
        <v>485.92500000000001</v>
      </c>
      <c r="AT509" s="288">
        <v>493.875</v>
      </c>
      <c r="AU509" s="288">
        <v>497.40000000000003</v>
      </c>
      <c r="AV509" s="288">
        <f ca="1">Calc!F12</f>
        <v>497.40000000000003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26.593</v>
      </c>
      <c r="G510" s="271">
        <v>25.676300000000001</v>
      </c>
      <c r="H510" s="271">
        <v>25.45</v>
      </c>
      <c r="I510" s="271">
        <v>25.6099</v>
      </c>
      <c r="J510" s="271">
        <v>25.6099</v>
      </c>
      <c r="K510" s="271">
        <v>25.698899999999998</v>
      </c>
      <c r="L510" s="271">
        <v>25.7103</v>
      </c>
      <c r="M510" s="271">
        <v>26.189</v>
      </c>
      <c r="N510" s="271">
        <v>26.208200000000001</v>
      </c>
      <c r="O510" s="271">
        <v>26.336400000000001</v>
      </c>
      <c r="P510" s="271">
        <v>26.587399999999999</v>
      </c>
      <c r="Q510" s="271">
        <v>25.982199999999999</v>
      </c>
      <c r="R510" s="271">
        <v>25.884599999999999</v>
      </c>
      <c r="S510" s="271">
        <v>25.913399999999999</v>
      </c>
      <c r="T510" s="271">
        <v>28.742100000000001</v>
      </c>
      <c r="U510" s="271">
        <v>28.273099999999999</v>
      </c>
      <c r="V510" s="271">
        <v>28.467600000000001</v>
      </c>
      <c r="W510" s="271">
        <v>28.8019</v>
      </c>
      <c r="X510" s="271">
        <v>28.651399999999999</v>
      </c>
      <c r="Y510" s="271">
        <v>28.1251</v>
      </c>
      <c r="Z510" s="265">
        <f ca="1">[1]ExtEntry!$K13</f>
        <v>28.1251</v>
      </c>
      <c r="AB510" s="284">
        <v>69445</v>
      </c>
      <c r="AC510" s="284">
        <v>67051</v>
      </c>
      <c r="AD510" s="284">
        <v>66460</v>
      </c>
      <c r="AE510" s="284">
        <v>66877.799999999988</v>
      </c>
      <c r="AF510" s="284">
        <v>66877.799999999988</v>
      </c>
      <c r="AG510" s="284">
        <v>67110</v>
      </c>
      <c r="AH510" s="284">
        <v>67140</v>
      </c>
      <c r="AI510" s="284">
        <v>68390</v>
      </c>
      <c r="AJ510" s="284">
        <v>68440</v>
      </c>
      <c r="AK510" s="284">
        <v>68775</v>
      </c>
      <c r="AL510" s="284">
        <v>69090</v>
      </c>
      <c r="AM510" s="284">
        <v>67850</v>
      </c>
      <c r="AN510" s="284">
        <v>67595</v>
      </c>
      <c r="AO510" s="284">
        <v>67670</v>
      </c>
      <c r="AP510" s="284">
        <v>67990</v>
      </c>
      <c r="AQ510" s="284">
        <v>66880</v>
      </c>
      <c r="AR510" s="284">
        <v>67340</v>
      </c>
      <c r="AS510" s="284">
        <v>68131</v>
      </c>
      <c r="AT510" s="284">
        <v>67775</v>
      </c>
      <c r="AU510" s="284">
        <v>66530</v>
      </c>
      <c r="AV510" s="284">
        <f ca="1">Calc!F13</f>
        <v>66530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18.542100000000001</v>
      </c>
      <c r="G511" s="271">
        <v>19.1449</v>
      </c>
      <c r="H511" s="271">
        <v>19.747699999999998</v>
      </c>
      <c r="I511" s="271">
        <v>19.761700000000001</v>
      </c>
      <c r="J511" s="271">
        <v>19.761700000000001</v>
      </c>
      <c r="K511" s="271">
        <v>19.764500000000002</v>
      </c>
      <c r="L511" s="271">
        <v>19.8719</v>
      </c>
      <c r="M511" s="271">
        <v>19.8735</v>
      </c>
      <c r="N511" s="271">
        <v>20.0687</v>
      </c>
      <c r="O511" s="271">
        <v>19.996099999999998</v>
      </c>
      <c r="P511" s="271">
        <v>20.132999999999999</v>
      </c>
      <c r="Q511" s="271">
        <v>20.677</v>
      </c>
      <c r="R511" s="271">
        <v>20.492899999999999</v>
      </c>
      <c r="S511" s="271">
        <v>20.462299999999999</v>
      </c>
      <c r="T511" s="271">
        <v>20.5656</v>
      </c>
      <c r="U511" s="271">
        <v>19.6082</v>
      </c>
      <c r="V511" s="271">
        <v>20.0212</v>
      </c>
      <c r="W511" s="271">
        <v>20.6463</v>
      </c>
      <c r="X511" s="271">
        <v>20.840299999999999</v>
      </c>
      <c r="Y511" s="271">
        <v>20.9282</v>
      </c>
      <c r="Z511" s="265">
        <f ca="1">[1]ExtEntry!$K14</f>
        <v>20.9282</v>
      </c>
      <c r="AB511" s="288">
        <v>16610</v>
      </c>
      <c r="AC511" s="288">
        <v>17150</v>
      </c>
      <c r="AD511" s="288">
        <v>17690</v>
      </c>
      <c r="AE511" s="288">
        <v>17702.5</v>
      </c>
      <c r="AF511" s="288">
        <v>17702.5</v>
      </c>
      <c r="AG511" s="288">
        <v>17705</v>
      </c>
      <c r="AH511" s="288">
        <v>17801.25</v>
      </c>
      <c r="AI511" s="288">
        <v>17887.5</v>
      </c>
      <c r="AJ511" s="288">
        <v>17977.5</v>
      </c>
      <c r="AK511" s="288">
        <v>17912.5</v>
      </c>
      <c r="AL511" s="288">
        <v>18287.5</v>
      </c>
      <c r="AM511" s="288">
        <v>18522.5</v>
      </c>
      <c r="AN511" s="288">
        <v>18357.5</v>
      </c>
      <c r="AO511" s="288">
        <v>18330</v>
      </c>
      <c r="AP511" s="288">
        <v>18422.5</v>
      </c>
      <c r="AQ511" s="288">
        <v>17565</v>
      </c>
      <c r="AR511" s="288">
        <v>17935</v>
      </c>
      <c r="AS511" s="288">
        <v>18495</v>
      </c>
      <c r="AT511" s="288">
        <v>18668.75</v>
      </c>
      <c r="AU511" s="288">
        <v>18747.5</v>
      </c>
      <c r="AV511" s="288">
        <f ca="1">Calc!F14</f>
        <v>18747.5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99</v>
      </c>
      <c r="G512" s="271">
        <v>0</v>
      </c>
      <c r="H512" s="271">
        <v>99</v>
      </c>
      <c r="I512" s="271">
        <v>0</v>
      </c>
      <c r="J512" s="271">
        <v>0</v>
      </c>
      <c r="K512" s="271">
        <v>99</v>
      </c>
      <c r="L512" s="271">
        <v>99</v>
      </c>
      <c r="M512" s="271">
        <v>99</v>
      </c>
      <c r="N512" s="271">
        <v>0</v>
      </c>
      <c r="O512" s="271">
        <v>0</v>
      </c>
      <c r="P512" s="271">
        <v>99</v>
      </c>
      <c r="Q512" s="271">
        <v>0</v>
      </c>
      <c r="R512" s="271">
        <v>0</v>
      </c>
      <c r="S512" s="271">
        <v>99</v>
      </c>
      <c r="T512" s="271">
        <v>0</v>
      </c>
      <c r="U512" s="271">
        <v>99</v>
      </c>
      <c r="V512" s="271">
        <v>99</v>
      </c>
      <c r="W512" s="271">
        <v>99</v>
      </c>
      <c r="X512" s="271">
        <v>0</v>
      </c>
      <c r="Y512" s="271">
        <v>99</v>
      </c>
      <c r="Z512" s="265">
        <f>[1]ExtEntry!$K15</f>
        <v>99</v>
      </c>
      <c r="AB512" s="284">
        <v>206000</v>
      </c>
      <c r="AC512" s="284">
        <v>209010</v>
      </c>
      <c r="AD512" s="284">
        <v>200999.99999999997</v>
      </c>
      <c r="AE512" s="284">
        <v>198500</v>
      </c>
      <c r="AF512" s="284">
        <v>198500</v>
      </c>
      <c r="AG512" s="284">
        <v>197000</v>
      </c>
      <c r="AH512" s="284">
        <v>217499.99999999997</v>
      </c>
      <c r="AI512" s="284">
        <v>214500</v>
      </c>
      <c r="AJ512" s="284">
        <v>256500</v>
      </c>
      <c r="AK512" s="284">
        <v>242420</v>
      </c>
      <c r="AL512" s="284">
        <v>229999.99999999997</v>
      </c>
      <c r="AM512" s="284">
        <v>220500</v>
      </c>
      <c r="AN512" s="284">
        <v>212029.99999999997</v>
      </c>
      <c r="AO512" s="284">
        <v>204999.99999999997</v>
      </c>
      <c r="AP512" s="284">
        <v>204999.99999999997</v>
      </c>
      <c r="AQ512" s="284">
        <v>217000</v>
      </c>
      <c r="AR512" s="284">
        <v>210000</v>
      </c>
      <c r="AS512" s="284">
        <v>212000</v>
      </c>
      <c r="AT512" s="284">
        <v>225000</v>
      </c>
      <c r="AU512" s="284">
        <v>222500</v>
      </c>
      <c r="AV512" s="284">
        <f ca="1">Calc!F15</f>
        <v>222500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18.218499999999999</v>
      </c>
      <c r="G513" s="271">
        <v>18.245200000000001</v>
      </c>
      <c r="H513" s="271">
        <v>18.240500000000001</v>
      </c>
      <c r="I513" s="271">
        <v>18.209099999999999</v>
      </c>
      <c r="J513" s="271">
        <v>18.209099999999999</v>
      </c>
      <c r="K513" s="271">
        <v>18.352599999999999</v>
      </c>
      <c r="L513" s="271">
        <v>18.459199999999999</v>
      </c>
      <c r="M513" s="271">
        <v>18.4451</v>
      </c>
      <c r="N513" s="271">
        <v>18.510899999999999</v>
      </c>
      <c r="O513" s="271">
        <v>18.355699999999999</v>
      </c>
      <c r="P513" s="271">
        <v>18.4436</v>
      </c>
      <c r="Q513" s="271">
        <v>18.310199999999998</v>
      </c>
      <c r="R513" s="271">
        <v>18.2867</v>
      </c>
      <c r="S513" s="271">
        <v>18.402799999999999</v>
      </c>
      <c r="T513" s="271">
        <v>18.626999999999999</v>
      </c>
      <c r="U513" s="271">
        <v>18.631599999999999</v>
      </c>
      <c r="V513" s="271">
        <v>18.3996</v>
      </c>
      <c r="W513" s="271">
        <v>18.158200000000001</v>
      </c>
      <c r="X513" s="271">
        <v>18.3659</v>
      </c>
      <c r="Y513" s="271">
        <v>18.181699999999999</v>
      </c>
      <c r="Z513" s="265">
        <f ca="1">[1]ExtEntry!$K16</f>
        <v>18.181699999999999</v>
      </c>
      <c r="AB513" s="288">
        <v>23241</v>
      </c>
      <c r="AC513" s="288">
        <v>23275</v>
      </c>
      <c r="AD513" s="288">
        <v>23269</v>
      </c>
      <c r="AE513" s="288">
        <v>23229</v>
      </c>
      <c r="AF513" s="288">
        <v>23229</v>
      </c>
      <c r="AG513" s="288">
        <v>23412</v>
      </c>
      <c r="AH513" s="288">
        <v>23548</v>
      </c>
      <c r="AI513" s="288">
        <v>23530</v>
      </c>
      <c r="AJ513" s="288">
        <v>23614</v>
      </c>
      <c r="AK513" s="288">
        <v>23416</v>
      </c>
      <c r="AL513" s="288">
        <v>23676</v>
      </c>
      <c r="AM513" s="288">
        <v>23358</v>
      </c>
      <c r="AN513" s="288">
        <v>23328</v>
      </c>
      <c r="AO513" s="288">
        <v>23476</v>
      </c>
      <c r="AP513" s="288">
        <v>23762</v>
      </c>
      <c r="AQ513" s="288">
        <v>23768</v>
      </c>
      <c r="AR513" s="288">
        <v>23472</v>
      </c>
      <c r="AS513" s="288">
        <v>115820</v>
      </c>
      <c r="AT513" s="288">
        <v>117145</v>
      </c>
      <c r="AU513" s="288">
        <v>115970</v>
      </c>
      <c r="AV513" s="288">
        <f ca="1">Calc!F16</f>
        <v>115970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30.610099999999999</v>
      </c>
      <c r="G514" s="271">
        <v>31.0123</v>
      </c>
      <c r="H514" s="271">
        <v>30.679099999999998</v>
      </c>
      <c r="I514" s="271">
        <v>31.023800000000001</v>
      </c>
      <c r="J514" s="271">
        <v>31.023800000000001</v>
      </c>
      <c r="K514" s="271">
        <v>31.356999999999999</v>
      </c>
      <c r="L514" s="271">
        <v>31.173200000000001</v>
      </c>
      <c r="M514" s="271">
        <v>30.782499999999999</v>
      </c>
      <c r="N514" s="271">
        <v>30.3918</v>
      </c>
      <c r="O514" s="271">
        <v>31.000800000000002</v>
      </c>
      <c r="P514" s="271">
        <v>30.6676</v>
      </c>
      <c r="Q514" s="271">
        <v>30.2654</v>
      </c>
      <c r="R514" s="271">
        <v>30.3918</v>
      </c>
      <c r="S514" s="271">
        <v>30.5182</v>
      </c>
      <c r="T514" s="271">
        <v>30.8629</v>
      </c>
      <c r="U514" s="271">
        <v>30.794</v>
      </c>
      <c r="V514" s="271">
        <v>31.4604</v>
      </c>
      <c r="W514" s="271">
        <v>31.977499999999999</v>
      </c>
      <c r="X514" s="271">
        <v>31.356999999999999</v>
      </c>
      <c r="Y514" s="271">
        <v>31.667200000000001</v>
      </c>
      <c r="Z514" s="265">
        <f ca="1">[1]ExtEntry!$K17</f>
        <v>31.667200000000001</v>
      </c>
      <c r="AB514" s="284">
        <v>159840</v>
      </c>
      <c r="AC514" s="284">
        <v>161940</v>
      </c>
      <c r="AD514" s="284">
        <v>160200</v>
      </c>
      <c r="AE514" s="284">
        <v>162000</v>
      </c>
      <c r="AF514" s="284">
        <v>162000</v>
      </c>
      <c r="AG514" s="284">
        <v>163740</v>
      </c>
      <c r="AH514" s="284">
        <v>160740</v>
      </c>
      <c r="AI514" s="284">
        <v>158700</v>
      </c>
      <c r="AJ514" s="284">
        <v>161040</v>
      </c>
      <c r="AK514" s="284">
        <v>161880</v>
      </c>
      <c r="AL514" s="284">
        <v>160140</v>
      </c>
      <c r="AM514" s="284">
        <v>158040</v>
      </c>
      <c r="AN514" s="284">
        <v>158700</v>
      </c>
      <c r="AO514" s="284">
        <v>159360</v>
      </c>
      <c r="AP514" s="284">
        <v>161160</v>
      </c>
      <c r="AQ514" s="284">
        <v>164280</v>
      </c>
      <c r="AR514" s="284">
        <v>166980</v>
      </c>
      <c r="AS514" s="284">
        <v>164160</v>
      </c>
      <c r="AT514" s="284">
        <v>163740</v>
      </c>
      <c r="AU514" s="284">
        <v>165360</v>
      </c>
      <c r="AV514" s="284">
        <f ca="1">Calc!F17</f>
        <v>165360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13.0931</v>
      </c>
      <c r="G515" s="271">
        <v>13.2675</v>
      </c>
      <c r="H515" s="271">
        <v>13.370200000000001</v>
      </c>
      <c r="I515" s="271">
        <v>13.376099999999999</v>
      </c>
      <c r="J515" s="271">
        <v>13.376099999999999</v>
      </c>
      <c r="K515" s="271">
        <v>13.5078</v>
      </c>
      <c r="L515" s="271">
        <v>13.494</v>
      </c>
      <c r="M515" s="271">
        <v>13.6267</v>
      </c>
      <c r="N515" s="271">
        <v>13.5166</v>
      </c>
      <c r="O515" s="271">
        <v>13.2651</v>
      </c>
      <c r="P515" s="271">
        <v>13.366300000000001</v>
      </c>
      <c r="Q515" s="271">
        <v>13.3673</v>
      </c>
      <c r="R515" s="271">
        <v>13.417400000000001</v>
      </c>
      <c r="S515" s="271">
        <v>13.3605</v>
      </c>
      <c r="T515" s="271">
        <v>13.3202</v>
      </c>
      <c r="U515" s="271">
        <v>13.5471</v>
      </c>
      <c r="V515" s="271">
        <v>13.4331</v>
      </c>
      <c r="W515" s="271">
        <v>12.995799999999999</v>
      </c>
      <c r="X515" s="271">
        <v>13.1059</v>
      </c>
      <c r="Y515" s="271">
        <v>13.077400000000001</v>
      </c>
      <c r="Z515" s="265">
        <f ca="1">[1]ExtEntry!$K18</f>
        <v>13.077400000000001</v>
      </c>
      <c r="AB515" s="288">
        <v>133250</v>
      </c>
      <c r="AC515" s="288">
        <v>135025</v>
      </c>
      <c r="AD515" s="288">
        <v>136070</v>
      </c>
      <c r="AE515" s="288">
        <v>136130</v>
      </c>
      <c r="AF515" s="288">
        <v>136130</v>
      </c>
      <c r="AG515" s="288">
        <v>137470</v>
      </c>
      <c r="AH515" s="288">
        <v>137330</v>
      </c>
      <c r="AI515" s="288">
        <v>138680</v>
      </c>
      <c r="AJ515" s="288">
        <v>137560</v>
      </c>
      <c r="AK515" s="288">
        <v>134999.9</v>
      </c>
      <c r="AL515" s="288">
        <v>137760</v>
      </c>
      <c r="AM515" s="288">
        <v>136040</v>
      </c>
      <c r="AN515" s="288">
        <v>136550</v>
      </c>
      <c r="AO515" s="288">
        <v>135970</v>
      </c>
      <c r="AP515" s="288">
        <v>135560</v>
      </c>
      <c r="AQ515" s="288">
        <v>134520</v>
      </c>
      <c r="AR515" s="288">
        <v>136710</v>
      </c>
      <c r="AS515" s="288">
        <v>132260</v>
      </c>
      <c r="AT515" s="288">
        <v>133380</v>
      </c>
      <c r="AU515" s="288">
        <v>133090</v>
      </c>
      <c r="AV515" s="288">
        <f ca="1">Calc!F18</f>
        <v>133090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6.6821000000000002</v>
      </c>
      <c r="G516" s="271">
        <v>6.7675999999999998</v>
      </c>
      <c r="H516" s="271">
        <v>6.7725</v>
      </c>
      <c r="I516" s="271">
        <v>6.8188000000000004</v>
      </c>
      <c r="J516" s="271">
        <v>6.8188000000000004</v>
      </c>
      <c r="K516" s="271">
        <v>6.6894999999999998</v>
      </c>
      <c r="L516" s="271">
        <v>6.8765000000000001</v>
      </c>
      <c r="M516" s="271">
        <v>6.9092000000000002</v>
      </c>
      <c r="N516" s="271">
        <v>6.9873000000000003</v>
      </c>
      <c r="O516" s="271">
        <v>6.9191000000000003</v>
      </c>
      <c r="P516" s="271">
        <v>6.9287000000000001</v>
      </c>
      <c r="Q516" s="271">
        <v>6.9043000000000001</v>
      </c>
      <c r="R516" s="271">
        <v>6.9726999999999997</v>
      </c>
      <c r="S516" s="271">
        <v>7.0800999999999998</v>
      </c>
      <c r="T516" s="271">
        <v>7.0800999999999998</v>
      </c>
      <c r="U516" s="271">
        <v>7.1532999999999998</v>
      </c>
      <c r="V516" s="271">
        <v>7.0458999999999996</v>
      </c>
      <c r="W516" s="271">
        <v>6.9433999999999996</v>
      </c>
      <c r="X516" s="271">
        <v>7.1044999999999998</v>
      </c>
      <c r="Y516" s="271">
        <v>6.8506</v>
      </c>
      <c r="Z516" s="265">
        <f ca="1">[1]ExtEntry!$K19</f>
        <v>6.8506</v>
      </c>
      <c r="AB516" s="284">
        <v>82110</v>
      </c>
      <c r="AC516" s="284">
        <v>83160</v>
      </c>
      <c r="AD516" s="284">
        <v>83220</v>
      </c>
      <c r="AE516" s="284">
        <v>83790</v>
      </c>
      <c r="AF516" s="284">
        <v>83790</v>
      </c>
      <c r="AG516" s="284">
        <v>82200</v>
      </c>
      <c r="AH516" s="284">
        <v>84498</v>
      </c>
      <c r="AI516" s="284">
        <v>84900</v>
      </c>
      <c r="AJ516" s="284">
        <v>85860</v>
      </c>
      <c r="AK516" s="284">
        <v>85021.799999999988</v>
      </c>
      <c r="AL516" s="284">
        <v>86700</v>
      </c>
      <c r="AM516" s="284">
        <v>84840</v>
      </c>
      <c r="AN516" s="284">
        <v>85680</v>
      </c>
      <c r="AO516" s="284">
        <v>87000</v>
      </c>
      <c r="AP516" s="284">
        <v>87000</v>
      </c>
      <c r="AQ516" s="284">
        <v>87900</v>
      </c>
      <c r="AR516" s="284">
        <v>86580</v>
      </c>
      <c r="AS516" s="284">
        <v>85320</v>
      </c>
      <c r="AT516" s="284">
        <v>87300</v>
      </c>
      <c r="AU516" s="284">
        <v>84180</v>
      </c>
      <c r="AV516" s="284">
        <f ca="1">Calc!F19</f>
        <v>84180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9.3071000000000002</v>
      </c>
      <c r="G517" s="271">
        <v>13.126300000000001</v>
      </c>
      <c r="H517" s="271">
        <v>13.0145</v>
      </c>
      <c r="I517" s="271">
        <v>12.9979</v>
      </c>
      <c r="J517" s="271">
        <v>12.9979</v>
      </c>
      <c r="K517" s="271">
        <v>12.931699999999999</v>
      </c>
      <c r="L517" s="271">
        <v>12.766</v>
      </c>
      <c r="M517" s="271">
        <v>12.894399999999999</v>
      </c>
      <c r="N517" s="271">
        <v>12.894399999999999</v>
      </c>
      <c r="O517" s="271">
        <v>12.8489</v>
      </c>
      <c r="P517" s="271">
        <v>12.5093</v>
      </c>
      <c r="Q517" s="271">
        <v>12.1532</v>
      </c>
      <c r="R517" s="271">
        <v>12.0952</v>
      </c>
      <c r="S517" s="271">
        <v>12.434799999999999</v>
      </c>
      <c r="T517" s="271">
        <v>12.455500000000001</v>
      </c>
      <c r="U517" s="271">
        <v>12.567299999999999</v>
      </c>
      <c r="V517" s="271">
        <v>12.674899999999999</v>
      </c>
      <c r="W517" s="271">
        <v>12.6957</v>
      </c>
      <c r="X517" s="271">
        <v>12.666700000000001</v>
      </c>
      <c r="Y517" s="271">
        <v>12.857100000000001</v>
      </c>
      <c r="Z517" s="265">
        <f ca="1">[1]ExtEntry!$K20</f>
        <v>12.857100000000001</v>
      </c>
      <c r="AB517" s="288">
        <v>79925</v>
      </c>
      <c r="AC517" s="288">
        <v>79250</v>
      </c>
      <c r="AD517" s="288">
        <v>78575</v>
      </c>
      <c r="AE517" s="288">
        <v>78475</v>
      </c>
      <c r="AF517" s="288">
        <v>78475</v>
      </c>
      <c r="AG517" s="288">
        <v>78075</v>
      </c>
      <c r="AH517" s="288">
        <v>77075</v>
      </c>
      <c r="AI517" s="288">
        <v>77850</v>
      </c>
      <c r="AJ517" s="288">
        <v>78375</v>
      </c>
      <c r="AK517" s="288">
        <v>77575</v>
      </c>
      <c r="AL517" s="288">
        <v>75525</v>
      </c>
      <c r="AM517" s="288">
        <v>146750</v>
      </c>
      <c r="AN517" s="288">
        <v>146050</v>
      </c>
      <c r="AO517" s="288">
        <v>150150</v>
      </c>
      <c r="AP517" s="288">
        <v>150400</v>
      </c>
      <c r="AQ517" s="288">
        <v>153450</v>
      </c>
      <c r="AR517" s="288">
        <v>153050</v>
      </c>
      <c r="AS517" s="288">
        <v>153300</v>
      </c>
      <c r="AT517" s="288">
        <v>152950</v>
      </c>
      <c r="AU517" s="288">
        <v>97031.25</v>
      </c>
      <c r="AV517" s="288">
        <f ca="1">Calc!F20</f>
        <v>97031.25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57300</v>
      </c>
      <c r="AC518" s="284">
        <v>57441</v>
      </c>
      <c r="AD518" s="284">
        <v>57450</v>
      </c>
      <c r="AE518" s="284">
        <v>57600</v>
      </c>
      <c r="AF518" s="284">
        <v>57600</v>
      </c>
      <c r="AG518" s="284">
        <v>57900</v>
      </c>
      <c r="AH518" s="284">
        <v>23478</v>
      </c>
      <c r="AI518" s="284">
        <v>7893</v>
      </c>
      <c r="AJ518" s="284">
        <v>7368</v>
      </c>
      <c r="AK518" s="284">
        <v>7047</v>
      </c>
      <c r="AL518" s="284">
        <v>7200</v>
      </c>
      <c r="AM518" s="284">
        <v>7002</v>
      </c>
      <c r="AN518" s="284">
        <v>7050</v>
      </c>
      <c r="AO518" s="284">
        <v>7095</v>
      </c>
      <c r="AP518" s="284">
        <v>6948</v>
      </c>
      <c r="AQ518" s="284">
        <v>7107</v>
      </c>
      <c r="AR518" s="284">
        <v>7200</v>
      </c>
      <c r="AS518" s="284">
        <v>6150</v>
      </c>
      <c r="AT518" s="284">
        <v>6150</v>
      </c>
      <c r="AU518" s="284">
        <v>6087</v>
      </c>
      <c r="AV518" s="284">
        <f ca="1">Calc!F21</f>
        <v>6087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8.0373999999999999</v>
      </c>
      <c r="G519" s="271">
        <v>8.1484000000000005</v>
      </c>
      <c r="H519" s="271">
        <v>8.1227</v>
      </c>
      <c r="I519" s="271">
        <v>8.2103000000000002</v>
      </c>
      <c r="J519" s="271">
        <v>8.2103000000000002</v>
      </c>
      <c r="K519" s="271">
        <v>8.1873000000000005</v>
      </c>
      <c r="L519" s="271">
        <v>8.3999000000000006</v>
      </c>
      <c r="M519" s="271">
        <v>8.4756</v>
      </c>
      <c r="N519" s="271">
        <v>8.4669000000000008</v>
      </c>
      <c r="O519" s="271">
        <v>8.3602000000000007</v>
      </c>
      <c r="P519" s="271">
        <v>8.4307999999999996</v>
      </c>
      <c r="Q519" s="271">
        <v>8.3718000000000004</v>
      </c>
      <c r="R519" s="271">
        <v>8.3992000000000004</v>
      </c>
      <c r="S519" s="271">
        <v>8.3241999999999994</v>
      </c>
      <c r="T519" s="271">
        <v>8.3602000000000007</v>
      </c>
      <c r="U519" s="271">
        <v>8.3948</v>
      </c>
      <c r="V519" s="271">
        <v>8.3630999999999993</v>
      </c>
      <c r="W519" s="271">
        <v>8.2658000000000005</v>
      </c>
      <c r="X519" s="271">
        <v>8.4596999999999998</v>
      </c>
      <c r="Y519" s="271">
        <v>8.4329999999999998</v>
      </c>
      <c r="Z519" s="265">
        <f ca="1">[1]ExtEntry!$K22</f>
        <v>8.4329999999999998</v>
      </c>
      <c r="AB519" s="288">
        <v>557.6</v>
      </c>
      <c r="AC519" s="288">
        <v>565.29999999999995</v>
      </c>
      <c r="AD519" s="288">
        <v>563.52300000000002</v>
      </c>
      <c r="AE519" s="288">
        <v>569.6</v>
      </c>
      <c r="AF519" s="288">
        <v>569.6</v>
      </c>
      <c r="AG519" s="288">
        <v>568</v>
      </c>
      <c r="AH519" s="288">
        <v>582.75</v>
      </c>
      <c r="AI519" s="288">
        <v>588</v>
      </c>
      <c r="AJ519" s="288">
        <v>587.4</v>
      </c>
      <c r="AK519" s="288">
        <v>580</v>
      </c>
      <c r="AL519" s="288">
        <v>585.90000000000009</v>
      </c>
      <c r="AM519" s="288">
        <v>580.79999999999995</v>
      </c>
      <c r="AN519" s="288">
        <v>582.70000000000005</v>
      </c>
      <c r="AO519" s="288">
        <v>577.5</v>
      </c>
      <c r="AP519" s="288">
        <v>581.5</v>
      </c>
      <c r="AQ519" s="288">
        <v>582.4</v>
      </c>
      <c r="AR519" s="288">
        <v>580.20000000000005</v>
      </c>
      <c r="AS519" s="288">
        <v>573.45000000000005</v>
      </c>
      <c r="AT519" s="288">
        <v>586.9</v>
      </c>
      <c r="AU519" s="288">
        <v>585.05000000000007</v>
      </c>
      <c r="AV519" s="288">
        <f ca="1">Calc!F22</f>
        <v>585.05000000000007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21.024699999999999</v>
      </c>
      <c r="G520" s="271">
        <v>21.084199999999999</v>
      </c>
      <c r="H520" s="271">
        <v>21.193300000000001</v>
      </c>
      <c r="I520" s="271">
        <v>21.2578</v>
      </c>
      <c r="J520" s="271">
        <v>21.2578</v>
      </c>
      <c r="K520" s="271">
        <v>20.875900000000001</v>
      </c>
      <c r="L520" s="271">
        <v>22.3887</v>
      </c>
      <c r="M520" s="271">
        <v>22.324200000000001</v>
      </c>
      <c r="N520" s="271">
        <v>22.522600000000001</v>
      </c>
      <c r="O520" s="271">
        <v>23.0185</v>
      </c>
      <c r="P520" s="271">
        <v>22.9741</v>
      </c>
      <c r="Q520" s="271">
        <v>22.165500000000002</v>
      </c>
      <c r="R520" s="271">
        <v>22.468</v>
      </c>
      <c r="S520" s="271">
        <v>22.636900000000001</v>
      </c>
      <c r="T520" s="271">
        <v>27.779399999999999</v>
      </c>
      <c r="U520" s="271">
        <v>28.1936</v>
      </c>
      <c r="V520" s="271">
        <v>28.6494</v>
      </c>
      <c r="W520" s="271">
        <v>28.6431</v>
      </c>
      <c r="X520" s="271">
        <v>29.818899999999999</v>
      </c>
      <c r="Y520" s="271">
        <v>29.668900000000001</v>
      </c>
      <c r="Z520" s="265">
        <f ca="1">[1]ExtEntry!$K23</f>
        <v>29.668900000000001</v>
      </c>
      <c r="AB520" s="284">
        <v>328522.5</v>
      </c>
      <c r="AC520" s="284">
        <v>329452.5</v>
      </c>
      <c r="AD520" s="284">
        <v>331157.5</v>
      </c>
      <c r="AE520" s="284">
        <v>332165</v>
      </c>
      <c r="AF520" s="284">
        <v>332165</v>
      </c>
      <c r="AG520" s="284">
        <v>326197.5</v>
      </c>
      <c r="AH520" s="284">
        <v>349835</v>
      </c>
      <c r="AI520" s="284">
        <v>348827.5</v>
      </c>
      <c r="AJ520" s="284">
        <v>351927.5</v>
      </c>
      <c r="AK520" s="284">
        <v>278460</v>
      </c>
      <c r="AL520" s="284">
        <v>270840</v>
      </c>
      <c r="AM520" s="284">
        <v>268140</v>
      </c>
      <c r="AN520" s="284">
        <v>271800</v>
      </c>
      <c r="AO520" s="284">
        <v>273840</v>
      </c>
      <c r="AP520" s="284">
        <v>277920</v>
      </c>
      <c r="AQ520" s="284">
        <v>282060</v>
      </c>
      <c r="AR520" s="284">
        <v>286620</v>
      </c>
      <c r="AS520" s="284">
        <v>293280</v>
      </c>
      <c r="AT520" s="284">
        <v>298320</v>
      </c>
      <c r="AU520" s="284">
        <v>296820</v>
      </c>
      <c r="AV520" s="284">
        <f ca="1">Calc!F23</f>
        <v>296820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10.313700000000001</v>
      </c>
      <c r="G521" s="271">
        <v>10.313700000000001</v>
      </c>
      <c r="H521" s="271">
        <v>10.375400000000001</v>
      </c>
      <c r="I521" s="271">
        <v>10.462199999999999</v>
      </c>
      <c r="J521" s="271">
        <v>10.462199999999999</v>
      </c>
      <c r="K521" s="271">
        <v>10.2134</v>
      </c>
      <c r="L521" s="271">
        <v>10.610799999999999</v>
      </c>
      <c r="M521" s="271">
        <v>10.4217</v>
      </c>
      <c r="N521" s="271">
        <v>10.4719</v>
      </c>
      <c r="O521" s="271">
        <v>10.7593</v>
      </c>
      <c r="P521" s="271">
        <v>10.938700000000001</v>
      </c>
      <c r="Q521" s="271">
        <v>10.8674</v>
      </c>
      <c r="R521" s="271">
        <v>10.435</v>
      </c>
      <c r="S521" s="271">
        <v>10.4552</v>
      </c>
      <c r="T521" s="271">
        <v>10.535299999999999</v>
      </c>
      <c r="U521" s="271">
        <v>10.6972</v>
      </c>
      <c r="V521" s="271">
        <v>10.578799999999999</v>
      </c>
      <c r="W521" s="271">
        <v>10.3348</v>
      </c>
      <c r="X521" s="271">
        <v>10.321999999999999</v>
      </c>
      <c r="Y521" s="271">
        <v>10.1836</v>
      </c>
      <c r="Z521" s="265">
        <f ca="1">[1]ExtEntry!$K24</f>
        <v>10.1836</v>
      </c>
      <c r="AB521" s="288">
        <v>133650</v>
      </c>
      <c r="AC521" s="288">
        <v>133650</v>
      </c>
      <c r="AD521" s="288">
        <v>134450</v>
      </c>
      <c r="AE521" s="288">
        <v>27115</v>
      </c>
      <c r="AF521" s="288">
        <v>27115</v>
      </c>
      <c r="AG521" s="288">
        <v>26470</v>
      </c>
      <c r="AH521" s="288">
        <v>27500</v>
      </c>
      <c r="AI521" s="288">
        <v>27010</v>
      </c>
      <c r="AJ521" s="288">
        <v>27140</v>
      </c>
      <c r="AK521" s="288">
        <v>27885</v>
      </c>
      <c r="AL521" s="288">
        <v>28540</v>
      </c>
      <c r="AM521" s="288">
        <v>28165</v>
      </c>
      <c r="AN521" s="288">
        <v>28645</v>
      </c>
      <c r="AO521" s="288">
        <v>28700</v>
      </c>
      <c r="AP521" s="288">
        <v>28920</v>
      </c>
      <c r="AQ521" s="288">
        <v>29365</v>
      </c>
      <c r="AR521" s="288">
        <v>29040</v>
      </c>
      <c r="AS521" s="288">
        <v>28370</v>
      </c>
      <c r="AT521" s="288">
        <v>28335</v>
      </c>
      <c r="AU521" s="288">
        <v>27955</v>
      </c>
      <c r="AV521" s="288">
        <f ca="1">Calc!F24</f>
        <v>27955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6.9104999999999999</v>
      </c>
      <c r="G522" s="271">
        <v>6.9537000000000004</v>
      </c>
      <c r="H522" s="271">
        <v>7.0058999999999996</v>
      </c>
      <c r="I522" s="271">
        <v>7.0545999999999998</v>
      </c>
      <c r="J522" s="271">
        <v>7.0545999999999998</v>
      </c>
      <c r="K522" s="271">
        <v>7.0023</v>
      </c>
      <c r="L522" s="271">
        <v>7.1086</v>
      </c>
      <c r="M522" s="271">
        <v>7.0743999999999998</v>
      </c>
      <c r="N522" s="271">
        <v>7.0726000000000004</v>
      </c>
      <c r="O522" s="271">
        <v>7.0167999999999999</v>
      </c>
      <c r="P522" s="271">
        <v>7.0221999999999998</v>
      </c>
      <c r="Q522" s="271">
        <v>6.8095999999999997</v>
      </c>
      <c r="R522" s="271">
        <v>7.0416999999999996</v>
      </c>
      <c r="S522" s="271">
        <v>7.0384000000000002</v>
      </c>
      <c r="T522" s="271">
        <v>7.0401999999999996</v>
      </c>
      <c r="U522" s="271">
        <v>7.0221999999999998</v>
      </c>
      <c r="V522" s="271">
        <v>7.1536999999999997</v>
      </c>
      <c r="W522" s="271">
        <v>7.1680999999999999</v>
      </c>
      <c r="X522" s="271">
        <v>6.9015000000000004</v>
      </c>
      <c r="Y522" s="271">
        <v>6.8887999999999998</v>
      </c>
      <c r="Z522" s="265">
        <f ca="1">[1]ExtEntry!$K25</f>
        <v>6.8887999999999998</v>
      </c>
      <c r="AB522" s="284">
        <v>1036800</v>
      </c>
      <c r="AC522" s="284">
        <v>1042200</v>
      </c>
      <c r="AD522" s="284">
        <v>1050030</v>
      </c>
      <c r="AE522" s="284">
        <v>1063530</v>
      </c>
      <c r="AF522" s="284">
        <v>1063530</v>
      </c>
      <c r="AG522" s="284">
        <v>1047060</v>
      </c>
      <c r="AH522" s="284">
        <v>1065420</v>
      </c>
      <c r="AI522" s="284">
        <v>1060020</v>
      </c>
      <c r="AJ522" s="284">
        <v>1038420</v>
      </c>
      <c r="AK522" s="284">
        <v>1051650</v>
      </c>
      <c r="AL522" s="284">
        <v>1052460</v>
      </c>
      <c r="AM522" s="284">
        <v>1020600</v>
      </c>
      <c r="AN522" s="284">
        <v>1055386.8</v>
      </c>
      <c r="AO522" s="284">
        <v>1054890</v>
      </c>
      <c r="AP522" s="284">
        <v>1055160</v>
      </c>
      <c r="AQ522" s="284">
        <v>1064340</v>
      </c>
      <c r="AR522" s="284">
        <v>1074330</v>
      </c>
      <c r="AS522" s="284">
        <v>1030590</v>
      </c>
      <c r="AT522" s="284">
        <v>1032210</v>
      </c>
      <c r="AU522" s="284">
        <v>1031400</v>
      </c>
      <c r="AV522" s="284">
        <f ca="1">Calc!F25</f>
        <v>1031400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18.9224</v>
      </c>
      <c r="G523" s="271">
        <v>18.9374</v>
      </c>
      <c r="H523" s="271">
        <v>19.089700000000001</v>
      </c>
      <c r="I523" s="271">
        <v>19.246200000000002</v>
      </c>
      <c r="J523" s="271">
        <v>19.246200000000002</v>
      </c>
      <c r="K523" s="271">
        <v>19.538599999999999</v>
      </c>
      <c r="L523" s="271">
        <v>19.073399999999999</v>
      </c>
      <c r="M523" s="271">
        <v>19.081499999999998</v>
      </c>
      <c r="N523" s="271">
        <v>18.485800000000001</v>
      </c>
      <c r="O523" s="271">
        <v>18.1784</v>
      </c>
      <c r="P523" s="271">
        <v>18.352399999999999</v>
      </c>
      <c r="Q523" s="271">
        <v>18.6953</v>
      </c>
      <c r="R523" s="271">
        <v>18.298100000000002</v>
      </c>
      <c r="S523" s="271">
        <v>18.553699999999999</v>
      </c>
      <c r="T523" s="271">
        <v>18.4558</v>
      </c>
      <c r="U523" s="271">
        <v>18.5062</v>
      </c>
      <c r="V523" s="271">
        <v>18.4069</v>
      </c>
      <c r="W523" s="271">
        <v>18.246400000000001</v>
      </c>
      <c r="X523" s="271">
        <v>18.279</v>
      </c>
      <c r="Y523" s="271">
        <v>18.578299999999999</v>
      </c>
      <c r="Z523" s="265">
        <f ca="1">[1]ExtEntry!$K26</f>
        <v>18.578299999999999</v>
      </c>
      <c r="AB523" s="288">
        <v>139110</v>
      </c>
      <c r="AC523" s="288">
        <v>139220</v>
      </c>
      <c r="AD523" s="288">
        <v>140340</v>
      </c>
      <c r="AE523" s="288">
        <v>141490</v>
      </c>
      <c r="AF523" s="288">
        <v>141490</v>
      </c>
      <c r="AG523" s="288">
        <v>143640</v>
      </c>
      <c r="AH523" s="288">
        <v>140220</v>
      </c>
      <c r="AI523" s="288">
        <v>137960</v>
      </c>
      <c r="AJ523" s="288">
        <v>135900</v>
      </c>
      <c r="AK523" s="288">
        <v>133640</v>
      </c>
      <c r="AL523" s="288">
        <v>180454.40000000002</v>
      </c>
      <c r="AM523" s="288">
        <v>182795.19999999998</v>
      </c>
      <c r="AN523" s="288">
        <v>178911.6</v>
      </c>
      <c r="AO523" s="288">
        <v>181412</v>
      </c>
      <c r="AP523" s="288">
        <v>180454.40000000002</v>
      </c>
      <c r="AQ523" s="288">
        <v>180946.50000000003</v>
      </c>
      <c r="AR523" s="288">
        <v>179975.59999999998</v>
      </c>
      <c r="AS523" s="288">
        <v>178406.19999999998</v>
      </c>
      <c r="AT523" s="288">
        <v>178725.4</v>
      </c>
      <c r="AU523" s="288">
        <v>181651.40000000002</v>
      </c>
      <c r="AV523" s="288">
        <f ca="1">Calc!F26</f>
        <v>181651.40000000002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99</v>
      </c>
      <c r="I525" s="271">
        <v>0</v>
      </c>
      <c r="J525" s="271">
        <v>0</v>
      </c>
      <c r="K525" s="271">
        <v>0</v>
      </c>
      <c r="L525" s="271">
        <v>99</v>
      </c>
      <c r="M525" s="271">
        <v>99</v>
      </c>
      <c r="N525" s="271">
        <v>0</v>
      </c>
      <c r="O525" s="271">
        <v>0</v>
      </c>
      <c r="P525" s="271">
        <v>99</v>
      </c>
      <c r="Q525" s="271">
        <v>0</v>
      </c>
      <c r="R525" s="271">
        <v>0</v>
      </c>
      <c r="S525" s="271">
        <v>0</v>
      </c>
      <c r="T525" s="271">
        <v>99</v>
      </c>
      <c r="U525" s="271">
        <v>99</v>
      </c>
      <c r="V525" s="271">
        <v>99</v>
      </c>
      <c r="W525" s="271">
        <v>99</v>
      </c>
      <c r="X525" s="271">
        <v>0</v>
      </c>
      <c r="Y525" s="271">
        <v>99</v>
      </c>
      <c r="Z525" s="265">
        <f>[1]ExtEntry!$K28</f>
        <v>99</v>
      </c>
      <c r="AB525" s="288">
        <v>8310</v>
      </c>
      <c r="AC525" s="288">
        <v>8870</v>
      </c>
      <c r="AD525" s="288">
        <v>9456.2000000000007</v>
      </c>
      <c r="AE525" s="288">
        <v>9200</v>
      </c>
      <c r="AF525" s="288">
        <v>9200</v>
      </c>
      <c r="AG525" s="288">
        <v>8850</v>
      </c>
      <c r="AH525" s="288">
        <v>9370</v>
      </c>
      <c r="AI525" s="288">
        <v>9370</v>
      </c>
      <c r="AJ525" s="288">
        <v>10550</v>
      </c>
      <c r="AK525" s="288">
        <v>10190</v>
      </c>
      <c r="AL525" s="288">
        <v>9940</v>
      </c>
      <c r="AM525" s="288">
        <v>9550</v>
      </c>
      <c r="AN525" s="288">
        <v>9520</v>
      </c>
      <c r="AO525" s="288">
        <v>9440</v>
      </c>
      <c r="AP525" s="288">
        <v>9940</v>
      </c>
      <c r="AQ525" s="288">
        <v>10230</v>
      </c>
      <c r="AR525" s="288">
        <v>11280</v>
      </c>
      <c r="AS525" s="288">
        <v>12270</v>
      </c>
      <c r="AT525" s="288">
        <v>12170</v>
      </c>
      <c r="AU525" s="288">
        <v>12110</v>
      </c>
      <c r="AV525" s="288">
        <f ca="1">Calc!F28</f>
        <v>12110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319438.8</v>
      </c>
      <c r="AC526" s="284">
        <v>333840</v>
      </c>
      <c r="AD526" s="284">
        <v>336420</v>
      </c>
      <c r="AE526" s="284">
        <v>335220</v>
      </c>
      <c r="AF526" s="284">
        <v>335220</v>
      </c>
      <c r="AG526" s="284">
        <v>322680</v>
      </c>
      <c r="AH526" s="284">
        <v>304200</v>
      </c>
      <c r="AI526" s="284">
        <v>296760</v>
      </c>
      <c r="AJ526" s="284">
        <v>301200</v>
      </c>
      <c r="AK526" s="284">
        <v>293340</v>
      </c>
      <c r="AL526" s="284">
        <v>289080</v>
      </c>
      <c r="AM526" s="284">
        <v>281760</v>
      </c>
      <c r="AN526" s="284">
        <v>291360</v>
      </c>
      <c r="AO526" s="284">
        <v>288600</v>
      </c>
      <c r="AP526" s="284">
        <v>291360</v>
      </c>
      <c r="AQ526" s="284">
        <v>297960</v>
      </c>
      <c r="AR526" s="284">
        <v>293640</v>
      </c>
      <c r="AS526" s="284">
        <v>291720</v>
      </c>
      <c r="AT526" s="284">
        <v>304560</v>
      </c>
      <c r="AU526" s="284">
        <v>282120</v>
      </c>
      <c r="AV526" s="284">
        <f ca="1">Calc!F29</f>
        <v>282120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38.411900000000003</v>
      </c>
      <c r="G527" s="271">
        <v>38.326799999999999</v>
      </c>
      <c r="H527" s="271">
        <v>37.976399999999998</v>
      </c>
      <c r="I527" s="271">
        <v>37.308599999999998</v>
      </c>
      <c r="J527" s="271">
        <v>37.308599999999998</v>
      </c>
      <c r="K527" s="271">
        <v>37.370199999999997</v>
      </c>
      <c r="L527" s="271">
        <v>36.966200000000001</v>
      </c>
      <c r="M527" s="271">
        <v>36.8035</v>
      </c>
      <c r="N527" s="271">
        <v>37.148000000000003</v>
      </c>
      <c r="O527" s="271">
        <v>37.244399999999999</v>
      </c>
      <c r="P527" s="271">
        <v>37.360700000000001</v>
      </c>
      <c r="Q527" s="271">
        <v>36.715499999999999</v>
      </c>
      <c r="R527" s="271">
        <v>37.0505</v>
      </c>
      <c r="S527" s="271">
        <v>37.046199999999999</v>
      </c>
      <c r="T527" s="271">
        <v>37.238300000000002</v>
      </c>
      <c r="U527" s="271">
        <v>36.521999999999998</v>
      </c>
      <c r="V527" s="271">
        <v>36.537399999999998</v>
      </c>
      <c r="W527" s="271">
        <v>36.537500000000001</v>
      </c>
      <c r="X527" s="271">
        <v>36.754399999999997</v>
      </c>
      <c r="Y527" s="271">
        <v>37.3797</v>
      </c>
      <c r="Z527" s="265">
        <f ca="1">[1]ExtEntry!$K30</f>
        <v>37.3797</v>
      </c>
      <c r="AB527" s="288">
        <v>5344596</v>
      </c>
      <c r="AC527" s="288">
        <v>5332764.0000000009</v>
      </c>
      <c r="AD527" s="288">
        <v>5284008</v>
      </c>
      <c r="AE527" s="288">
        <v>5191086</v>
      </c>
      <c r="AF527" s="288">
        <v>5191086</v>
      </c>
      <c r="AG527" s="288">
        <v>5158344</v>
      </c>
      <c r="AH527" s="288">
        <v>5143452</v>
      </c>
      <c r="AI527" s="288">
        <v>5120808</v>
      </c>
      <c r="AJ527" s="288">
        <v>5168748</v>
      </c>
      <c r="AK527" s="288">
        <v>5182161</v>
      </c>
      <c r="AL527" s="288">
        <v>5168238</v>
      </c>
      <c r="AM527" s="288">
        <v>5108568</v>
      </c>
      <c r="AN527" s="288">
        <v>5155182</v>
      </c>
      <c r="AO527" s="288">
        <v>5154570</v>
      </c>
      <c r="AP527" s="288">
        <v>5181294</v>
      </c>
      <c r="AQ527" s="288">
        <v>5081640</v>
      </c>
      <c r="AR527" s="288">
        <v>5083782</v>
      </c>
      <c r="AS527" s="288">
        <v>5103774</v>
      </c>
      <c r="AT527" s="288">
        <v>5113974</v>
      </c>
      <c r="AU527" s="288">
        <v>5200980</v>
      </c>
      <c r="AV527" s="288">
        <f ca="1">Calc!F30</f>
        <v>5200980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26.737200000000001</v>
      </c>
      <c r="G528" s="271">
        <v>27.129899999999999</v>
      </c>
      <c r="H528" s="271">
        <v>28.5474</v>
      </c>
      <c r="I528" s="271">
        <v>28.534300000000002</v>
      </c>
      <c r="J528" s="271">
        <v>28.534300000000002</v>
      </c>
      <c r="K528" s="271">
        <v>28.495000000000001</v>
      </c>
      <c r="L528" s="271">
        <v>28.169599999999999</v>
      </c>
      <c r="M528" s="271">
        <v>27.990100000000002</v>
      </c>
      <c r="N528" s="271">
        <v>27.627300000000002</v>
      </c>
      <c r="O528" s="271">
        <v>27.257100000000001</v>
      </c>
      <c r="P528" s="271">
        <v>26.961200000000002</v>
      </c>
      <c r="Q528" s="271">
        <v>26.9467</v>
      </c>
      <c r="R528" s="271">
        <v>26.800799999999999</v>
      </c>
      <c r="S528" s="271">
        <v>26.789200000000001</v>
      </c>
      <c r="T528" s="271">
        <v>26.504999999999999</v>
      </c>
      <c r="U528" s="271">
        <v>26.108899999999998</v>
      </c>
      <c r="V528" s="271">
        <v>26.209900000000001</v>
      </c>
      <c r="W528" s="271">
        <v>26.570799999999998</v>
      </c>
      <c r="X528" s="271">
        <v>26.6905</v>
      </c>
      <c r="Y528" s="271">
        <v>26.800799999999999</v>
      </c>
      <c r="Z528" s="265">
        <f ca="1">[1]ExtEntry!$K31</f>
        <v>26.800799999999999</v>
      </c>
      <c r="AB528" s="284">
        <v>300258</v>
      </c>
      <c r="AC528" s="284">
        <v>304668</v>
      </c>
      <c r="AD528" s="284">
        <v>320586</v>
      </c>
      <c r="AE528" s="284">
        <v>320439</v>
      </c>
      <c r="AF528" s="284">
        <v>320439</v>
      </c>
      <c r="AG528" s="284">
        <v>319998</v>
      </c>
      <c r="AH528" s="284">
        <v>241023.99999999997</v>
      </c>
      <c r="AI528" s="284">
        <v>239488</v>
      </c>
      <c r="AJ528" s="284">
        <v>236384</v>
      </c>
      <c r="AK528" s="284">
        <v>14576</v>
      </c>
      <c r="AL528" s="284">
        <v>14410</v>
      </c>
      <c r="AM528" s="284">
        <v>14410</v>
      </c>
      <c r="AN528" s="284">
        <v>14332</v>
      </c>
      <c r="AO528" s="284">
        <v>14326</v>
      </c>
      <c r="AP528" s="284">
        <v>14174</v>
      </c>
      <c r="AQ528" s="284">
        <v>13962</v>
      </c>
      <c r="AR528" s="284">
        <v>14016</v>
      </c>
      <c r="AS528" s="284">
        <v>298389</v>
      </c>
      <c r="AT528" s="284">
        <v>299733</v>
      </c>
      <c r="AU528" s="284">
        <v>300972</v>
      </c>
      <c r="AV528" s="284">
        <f ca="1">Calc!F31</f>
        <v>300972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12.3489</v>
      </c>
      <c r="G529" s="271">
        <v>12.5063</v>
      </c>
      <c r="H529" s="271">
        <v>12.512700000000001</v>
      </c>
      <c r="I529" s="271">
        <v>12.184200000000001</v>
      </c>
      <c r="J529" s="271">
        <v>12.184200000000001</v>
      </c>
      <c r="K529" s="271">
        <v>12.4855</v>
      </c>
      <c r="L529" s="271">
        <v>12.864699999999999</v>
      </c>
      <c r="M529" s="271">
        <v>13.1145</v>
      </c>
      <c r="N529" s="271">
        <v>13.1045</v>
      </c>
      <c r="O529" s="271">
        <v>13.1694</v>
      </c>
      <c r="P529" s="271">
        <v>13.207599999999999</v>
      </c>
      <c r="Q529" s="271">
        <v>13.7598</v>
      </c>
      <c r="R529" s="271">
        <v>13.807700000000001</v>
      </c>
      <c r="S529" s="271">
        <v>13.6058</v>
      </c>
      <c r="T529" s="271">
        <v>13.5534</v>
      </c>
      <c r="U529" s="271">
        <v>13.714499999999999</v>
      </c>
      <c r="V529" s="271">
        <v>13.7417</v>
      </c>
      <c r="W529" s="271">
        <v>14.203200000000001</v>
      </c>
      <c r="X529" s="271">
        <v>14.4069</v>
      </c>
      <c r="Y529" s="271">
        <v>14.347099999999999</v>
      </c>
      <c r="Z529" s="265">
        <f ca="1">[1]ExtEntry!$K32</f>
        <v>14.347099999999999</v>
      </c>
      <c r="AB529" s="288">
        <v>1241695</v>
      </c>
      <c r="AC529" s="288">
        <v>1257529</v>
      </c>
      <c r="AD529" s="288">
        <v>1258166</v>
      </c>
      <c r="AE529" s="288">
        <v>1225133</v>
      </c>
      <c r="AF529" s="288">
        <v>1225133</v>
      </c>
      <c r="AG529" s="288">
        <v>1255436</v>
      </c>
      <c r="AH529" s="288">
        <v>1293565</v>
      </c>
      <c r="AI529" s="288">
        <v>1318681</v>
      </c>
      <c r="AJ529" s="288">
        <v>1317680</v>
      </c>
      <c r="AK529" s="288">
        <v>1178686.0799999998</v>
      </c>
      <c r="AL529" s="288">
        <v>1205280</v>
      </c>
      <c r="AM529" s="288">
        <v>1231524</v>
      </c>
      <c r="AN529" s="288">
        <v>1235817</v>
      </c>
      <c r="AO529" s="288">
        <v>1221804</v>
      </c>
      <c r="AP529" s="288">
        <v>1213056</v>
      </c>
      <c r="AQ529" s="288">
        <v>1227474</v>
      </c>
      <c r="AR529" s="288">
        <v>1229904</v>
      </c>
      <c r="AS529" s="288">
        <v>1271214</v>
      </c>
      <c r="AT529" s="288">
        <v>1289439</v>
      </c>
      <c r="AU529" s="288">
        <v>1125563</v>
      </c>
      <c r="AV529" s="288">
        <f ca="1">Calc!F32</f>
        <v>1125563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52.742800000000003</v>
      </c>
      <c r="G530" s="271">
        <v>52.794699999999999</v>
      </c>
      <c r="H530" s="271">
        <v>52.978000000000002</v>
      </c>
      <c r="I530" s="271">
        <v>51.672800000000002</v>
      </c>
      <c r="J530" s="271">
        <v>51.672800000000002</v>
      </c>
      <c r="K530" s="271">
        <v>51.7256</v>
      </c>
      <c r="L530" s="271">
        <v>51.905000000000001</v>
      </c>
      <c r="M530" s="271">
        <v>52.246699999999997</v>
      </c>
      <c r="N530" s="271">
        <v>52.136400000000002</v>
      </c>
      <c r="O530" s="271">
        <v>52.244799999999998</v>
      </c>
      <c r="P530" s="271">
        <v>52.475200000000001</v>
      </c>
      <c r="Q530" s="271">
        <v>51.241399999999999</v>
      </c>
      <c r="R530" s="271">
        <v>51.6233</v>
      </c>
      <c r="S530" s="271">
        <v>52.250599999999999</v>
      </c>
      <c r="T530" s="271">
        <v>53.584400000000002</v>
      </c>
      <c r="U530" s="271">
        <v>53.042299999999997</v>
      </c>
      <c r="V530" s="271">
        <v>53.830199999999998</v>
      </c>
      <c r="W530" s="271">
        <v>53.167999999999999</v>
      </c>
      <c r="X530" s="271">
        <v>51.353999999999999</v>
      </c>
      <c r="Y530" s="271">
        <v>50.642400000000002</v>
      </c>
      <c r="Z530" s="265">
        <f ca="1">[1]ExtEntry!$K33</f>
        <v>50.642400000000002</v>
      </c>
      <c r="AB530" s="284">
        <v>742638</v>
      </c>
      <c r="AC530" s="284">
        <v>743370</v>
      </c>
      <c r="AD530" s="284">
        <v>745950</v>
      </c>
      <c r="AE530" s="284">
        <v>727571.99999999988</v>
      </c>
      <c r="AF530" s="284">
        <v>727571.99999999988</v>
      </c>
      <c r="AG530" s="284">
        <v>728315.99999999988</v>
      </c>
      <c r="AH530" s="284">
        <v>730842</v>
      </c>
      <c r="AI530" s="284">
        <v>735654</v>
      </c>
      <c r="AJ530" s="284">
        <v>734100</v>
      </c>
      <c r="AK530" s="284">
        <v>735627</v>
      </c>
      <c r="AL530" s="284">
        <v>724950</v>
      </c>
      <c r="AM530" s="284">
        <v>721498.5</v>
      </c>
      <c r="AN530" s="284">
        <v>726876</v>
      </c>
      <c r="AO530" s="284">
        <v>735708</v>
      </c>
      <c r="AP530" s="284">
        <v>754488</v>
      </c>
      <c r="AQ530" s="284">
        <v>746856</v>
      </c>
      <c r="AR530" s="284">
        <v>757950</v>
      </c>
      <c r="AS530" s="284">
        <v>748626</v>
      </c>
      <c r="AT530" s="284">
        <v>723084.00000000012</v>
      </c>
      <c r="AU530" s="284">
        <v>713064</v>
      </c>
      <c r="AV530" s="284">
        <f ca="1">Calc!F33</f>
        <v>713064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99</v>
      </c>
      <c r="I531" s="271">
        <v>99</v>
      </c>
      <c r="J531" s="271">
        <v>99</v>
      </c>
      <c r="K531" s="271">
        <v>0</v>
      </c>
      <c r="L531" s="271">
        <v>99</v>
      </c>
      <c r="M531" s="271">
        <v>99</v>
      </c>
      <c r="N531" s="271">
        <v>0</v>
      </c>
      <c r="O531" s="271">
        <v>0</v>
      </c>
      <c r="P531" s="271">
        <v>99</v>
      </c>
      <c r="Q531" s="271">
        <v>0</v>
      </c>
      <c r="R531" s="271">
        <v>0</v>
      </c>
      <c r="S531" s="271">
        <v>99</v>
      </c>
      <c r="T531" s="271">
        <v>0</v>
      </c>
      <c r="U531" s="271">
        <v>99</v>
      </c>
      <c r="V531" s="271">
        <v>99</v>
      </c>
      <c r="W531" s="271">
        <v>99</v>
      </c>
      <c r="X531" s="271">
        <v>0</v>
      </c>
      <c r="Y531" s="271">
        <v>99</v>
      </c>
      <c r="Z531" s="265">
        <f>[1]ExtEntry!$K34</f>
        <v>99</v>
      </c>
      <c r="AB531" s="288">
        <v>152742.99999999997</v>
      </c>
      <c r="AC531" s="288">
        <v>157267</v>
      </c>
      <c r="AD531" s="288">
        <v>153700</v>
      </c>
      <c r="AE531" s="288">
        <v>147784.00000000003</v>
      </c>
      <c r="AF531" s="288">
        <v>147784.00000000003</v>
      </c>
      <c r="AG531" s="288">
        <v>140679</v>
      </c>
      <c r="AH531" s="288">
        <v>125772.99999999999</v>
      </c>
      <c r="AI531" s="288">
        <v>121828.99999999999</v>
      </c>
      <c r="AJ531" s="288">
        <v>138400</v>
      </c>
      <c r="AK531" s="288">
        <v>137568</v>
      </c>
      <c r="AL531" s="288">
        <v>135936</v>
      </c>
      <c r="AM531" s="288">
        <v>124537.55669999999</v>
      </c>
      <c r="AN531" s="288">
        <v>135868.36499999999</v>
      </c>
      <c r="AO531" s="288">
        <v>122934.87000000001</v>
      </c>
      <c r="AP531" s="288">
        <v>106401.33</v>
      </c>
      <c r="AQ531" s="288">
        <v>118668.15000000001</v>
      </c>
      <c r="AR531" s="288">
        <v>126134.91000000002</v>
      </c>
      <c r="AS531" s="288">
        <v>136268.37</v>
      </c>
      <c r="AT531" s="288">
        <v>136001.69999999998</v>
      </c>
      <c r="AU531" s="288">
        <v>122001.52500000001</v>
      </c>
      <c r="AV531" s="288">
        <f ca="1">Calc!F34</f>
        <v>122001.52500000001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21.733499999999999</v>
      </c>
      <c r="G532" s="271">
        <v>21.9815</v>
      </c>
      <c r="H532" s="271">
        <v>21.873899999999999</v>
      </c>
      <c r="I532" s="271">
        <v>21.2699</v>
      </c>
      <c r="J532" s="271">
        <v>21.2699</v>
      </c>
      <c r="K532" s="271">
        <v>21.675999999999998</v>
      </c>
      <c r="L532" s="271">
        <v>22.564699999999998</v>
      </c>
      <c r="M532" s="271">
        <v>22.988299999999999</v>
      </c>
      <c r="N532" s="271">
        <v>22.911899999999999</v>
      </c>
      <c r="O532" s="271">
        <v>22.602900000000002</v>
      </c>
      <c r="P532" s="271">
        <v>22.8627</v>
      </c>
      <c r="Q532" s="271">
        <v>23.977599999999999</v>
      </c>
      <c r="R532" s="271">
        <v>23.950900000000001</v>
      </c>
      <c r="S532" s="271">
        <v>23.633299999999998</v>
      </c>
      <c r="T532" s="271">
        <v>23.3139</v>
      </c>
      <c r="U532" s="271">
        <v>24.835100000000001</v>
      </c>
      <c r="V532" s="271">
        <v>24.599</v>
      </c>
      <c r="W532" s="271">
        <v>25.1753</v>
      </c>
      <c r="X532" s="271">
        <v>25.571899999999999</v>
      </c>
      <c r="Y532" s="271">
        <v>25.4739</v>
      </c>
      <c r="Z532" s="265">
        <f ca="1">[1]ExtEntry!$K35</f>
        <v>25.4739</v>
      </c>
      <c r="AB532" s="284">
        <v>250422.40000000002</v>
      </c>
      <c r="AC532" s="284">
        <v>253280</v>
      </c>
      <c r="AD532" s="284">
        <v>252040</v>
      </c>
      <c r="AE532" s="284">
        <v>153175</v>
      </c>
      <c r="AF532" s="284">
        <v>153175</v>
      </c>
      <c r="AG532" s="284">
        <v>156100</v>
      </c>
      <c r="AH532" s="284">
        <v>162500</v>
      </c>
      <c r="AI532" s="284">
        <v>165550</v>
      </c>
      <c r="AJ532" s="284">
        <v>165000</v>
      </c>
      <c r="AK532" s="284">
        <v>130220</v>
      </c>
      <c r="AL532" s="284">
        <v>135680</v>
      </c>
      <c r="AM532" s="284">
        <v>138140</v>
      </c>
      <c r="AN532" s="284">
        <v>137986</v>
      </c>
      <c r="AO532" s="284">
        <v>136160</v>
      </c>
      <c r="AP532" s="284">
        <v>134320</v>
      </c>
      <c r="AQ532" s="284">
        <v>143080</v>
      </c>
      <c r="AR532" s="284">
        <v>141720</v>
      </c>
      <c r="AS532" s="284">
        <v>145040</v>
      </c>
      <c r="AT532" s="284">
        <v>147324.80000000002</v>
      </c>
      <c r="AU532" s="284">
        <v>146760</v>
      </c>
      <c r="AV532" s="284">
        <f ca="1">Calc!F35</f>
        <v>146760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10960</v>
      </c>
      <c r="AC533" s="288">
        <v>9320.2000000000007</v>
      </c>
      <c r="AD533" s="288">
        <v>8960.2000000000007</v>
      </c>
      <c r="AE533" s="288">
        <v>9160</v>
      </c>
      <c r="AF533" s="288">
        <v>9160</v>
      </c>
      <c r="AG533" s="288">
        <v>9280</v>
      </c>
      <c r="AH533" s="288">
        <v>9340</v>
      </c>
      <c r="AI533" s="288">
        <v>9000</v>
      </c>
      <c r="AJ533" s="288">
        <v>9040</v>
      </c>
      <c r="AK533" s="288">
        <v>9060</v>
      </c>
      <c r="AL533" s="288">
        <v>8940</v>
      </c>
      <c r="AM533" s="288">
        <v>8916.8000000000011</v>
      </c>
      <c r="AN533" s="288">
        <v>8960</v>
      </c>
      <c r="AO533" s="288">
        <v>8720</v>
      </c>
      <c r="AP533" s="288">
        <v>8840</v>
      </c>
      <c r="AQ533" s="288">
        <v>8220</v>
      </c>
      <c r="AR533" s="288">
        <v>8160</v>
      </c>
      <c r="AS533" s="288">
        <v>7740</v>
      </c>
      <c r="AT533" s="288">
        <v>7960</v>
      </c>
      <c r="AU533" s="288">
        <v>8080</v>
      </c>
      <c r="AV533" s="288">
        <f ca="1">Calc!F36</f>
        <v>8080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248500</v>
      </c>
      <c r="AC534" s="284">
        <v>253250.00000000003</v>
      </c>
      <c r="AD534" s="284">
        <v>244749.99999999997</v>
      </c>
      <c r="AE534" s="284">
        <v>245005</v>
      </c>
      <c r="AF534" s="284">
        <v>245005</v>
      </c>
      <c r="AG534" s="284">
        <v>247000.00000000003</v>
      </c>
      <c r="AH534" s="284">
        <v>267500</v>
      </c>
      <c r="AI534" s="284">
        <v>271000</v>
      </c>
      <c r="AJ534" s="284">
        <v>269000</v>
      </c>
      <c r="AK534" s="284">
        <v>274405</v>
      </c>
      <c r="AL534" s="284">
        <v>268000</v>
      </c>
      <c r="AM534" s="284">
        <v>255500.00000000003</v>
      </c>
      <c r="AN534" s="284">
        <v>260505</v>
      </c>
      <c r="AO534" s="284">
        <v>256000</v>
      </c>
      <c r="AP534" s="284">
        <v>262750</v>
      </c>
      <c r="AQ534" s="284">
        <v>267500</v>
      </c>
      <c r="AR534" s="284">
        <v>266500</v>
      </c>
      <c r="AS534" s="284">
        <v>280000</v>
      </c>
      <c r="AT534" s="284">
        <v>267250</v>
      </c>
      <c r="AU534" s="284">
        <v>262000</v>
      </c>
      <c r="AV534" s="284">
        <f ca="1">Calc!F37</f>
        <v>262000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0</v>
      </c>
      <c r="G535" s="271">
        <v>0</v>
      </c>
      <c r="H535" s="271">
        <v>99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0</v>
      </c>
      <c r="P535" s="271">
        <v>99</v>
      </c>
      <c r="Q535" s="271">
        <v>0</v>
      </c>
      <c r="R535" s="271">
        <v>0</v>
      </c>
      <c r="S535" s="271">
        <v>99</v>
      </c>
      <c r="T535" s="271">
        <v>99</v>
      </c>
      <c r="U535" s="271">
        <v>99</v>
      </c>
      <c r="V535" s="271">
        <v>99</v>
      </c>
      <c r="W535" s="271">
        <v>99</v>
      </c>
      <c r="X535" s="271">
        <v>0</v>
      </c>
      <c r="Y535" s="271">
        <v>99</v>
      </c>
      <c r="Z535" s="265">
        <f>[1]ExtEntry!$K38</f>
        <v>99</v>
      </c>
      <c r="AB535" s="288">
        <v>16400</v>
      </c>
      <c r="AC535" s="288">
        <v>15750</v>
      </c>
      <c r="AD535" s="288">
        <v>12491.000000000002</v>
      </c>
      <c r="AE535" s="288">
        <v>13279</v>
      </c>
      <c r="AF535" s="288">
        <v>13279</v>
      </c>
      <c r="AG535" s="288">
        <v>14597</v>
      </c>
      <c r="AH535" s="288">
        <v>14500</v>
      </c>
      <c r="AI535" s="288">
        <v>14600</v>
      </c>
      <c r="AJ535" s="288">
        <v>16299.999999999998</v>
      </c>
      <c r="AK535" s="288">
        <v>17250</v>
      </c>
      <c r="AL535" s="288">
        <v>11500</v>
      </c>
      <c r="AM535" s="288">
        <v>10700</v>
      </c>
      <c r="AN535" s="288">
        <v>9459</v>
      </c>
      <c r="AO535" s="288">
        <v>9534</v>
      </c>
      <c r="AP535" s="288">
        <v>8622</v>
      </c>
      <c r="AQ535" s="288">
        <v>9800</v>
      </c>
      <c r="AR535" s="288">
        <v>9801</v>
      </c>
      <c r="AS535" s="288">
        <v>9900</v>
      </c>
      <c r="AT535" s="288">
        <v>10300</v>
      </c>
      <c r="AU535" s="288">
        <v>10300</v>
      </c>
      <c r="AV535" s="288">
        <f ca="1">Calc!F38</f>
        <v>10300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6.9547999999999996</v>
      </c>
      <c r="G536" s="271">
        <v>7.0933000000000002</v>
      </c>
      <c r="H536" s="271">
        <v>7.5106000000000002</v>
      </c>
      <c r="I536" s="271">
        <v>7.2686999999999999</v>
      </c>
      <c r="J536" s="271">
        <v>7.2686999999999999</v>
      </c>
      <c r="K536" s="271">
        <v>7.6379999999999999</v>
      </c>
      <c r="L536" s="271">
        <v>7.5235000000000003</v>
      </c>
      <c r="M536" s="271">
        <v>7.6860999999999997</v>
      </c>
      <c r="N536" s="271">
        <v>7.3369999999999997</v>
      </c>
      <c r="O536" s="271">
        <v>7.4219999999999997</v>
      </c>
      <c r="P536" s="271">
        <v>7.2595000000000001</v>
      </c>
      <c r="Q536" s="271">
        <v>7.1856</v>
      </c>
      <c r="R536" s="271">
        <v>7.2613000000000003</v>
      </c>
      <c r="S536" s="271">
        <v>7.3148999999999997</v>
      </c>
      <c r="T536" s="271">
        <v>7.4108999999999998</v>
      </c>
      <c r="U536" s="271">
        <v>7.5476000000000001</v>
      </c>
      <c r="V536" s="271">
        <v>6.6353</v>
      </c>
      <c r="W536" s="271">
        <v>6.6353</v>
      </c>
      <c r="X536" s="271">
        <v>6.9813000000000001</v>
      </c>
      <c r="Y536" s="271">
        <v>7.0102000000000002</v>
      </c>
      <c r="Z536" s="265">
        <f ca="1">[1]ExtEntry!$K39</f>
        <v>7.0102000000000002</v>
      </c>
      <c r="AB536" s="284">
        <v>225959.99999999997</v>
      </c>
      <c r="AC536" s="284">
        <v>230459.99999999997</v>
      </c>
      <c r="AD536" s="284">
        <v>244020</v>
      </c>
      <c r="AE536" s="284">
        <v>236160</v>
      </c>
      <c r="AF536" s="284">
        <v>236160</v>
      </c>
      <c r="AG536" s="284">
        <v>248160</v>
      </c>
      <c r="AH536" s="284">
        <v>203700</v>
      </c>
      <c r="AI536" s="284">
        <v>208100</v>
      </c>
      <c r="AJ536" s="284">
        <v>198649.99999999997</v>
      </c>
      <c r="AK536" s="284">
        <v>120570</v>
      </c>
      <c r="AL536" s="284">
        <v>77700</v>
      </c>
      <c r="AM536" s="284">
        <v>77820.400000000009</v>
      </c>
      <c r="AN536" s="284">
        <v>78640</v>
      </c>
      <c r="AO536" s="284">
        <v>79220</v>
      </c>
      <c r="AP536" s="284">
        <v>80260</v>
      </c>
      <c r="AQ536" s="284">
        <v>81740</v>
      </c>
      <c r="AR536" s="284">
        <v>71860</v>
      </c>
      <c r="AS536" s="284">
        <v>72960</v>
      </c>
      <c r="AT536" s="284">
        <v>75607.200000000012</v>
      </c>
      <c r="AU536" s="284">
        <v>75920</v>
      </c>
      <c r="AV536" s="284">
        <f ca="1">Calc!F39</f>
        <v>75920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6.4105999999999996</v>
      </c>
      <c r="G537" s="271">
        <v>6.4958999999999998</v>
      </c>
      <c r="H537" s="271">
        <v>6.5255000000000001</v>
      </c>
      <c r="I537" s="271">
        <v>10.090999999999999</v>
      </c>
      <c r="J537" s="271">
        <v>10.090999999999999</v>
      </c>
      <c r="K537" s="271">
        <v>10.1225</v>
      </c>
      <c r="L537" s="271">
        <v>10.1168</v>
      </c>
      <c r="M537" s="271">
        <v>10.0166</v>
      </c>
      <c r="N537" s="271">
        <v>10.0166</v>
      </c>
      <c r="O537" s="271">
        <v>9.9049999999999994</v>
      </c>
      <c r="P537" s="271">
        <v>9.8907000000000007</v>
      </c>
      <c r="Q537" s="271">
        <v>9.6903000000000006</v>
      </c>
      <c r="R537" s="271">
        <v>9.6875</v>
      </c>
      <c r="S537" s="271">
        <v>9.9507999999999992</v>
      </c>
      <c r="T537" s="271">
        <v>9.9908000000000001</v>
      </c>
      <c r="U537" s="271">
        <v>10.0223</v>
      </c>
      <c r="V537" s="271">
        <v>10.219799999999999</v>
      </c>
      <c r="W537" s="271">
        <v>10.262700000000001</v>
      </c>
      <c r="X537" s="271">
        <v>10.231199999999999</v>
      </c>
      <c r="Y537" s="271">
        <v>10.2828</v>
      </c>
      <c r="Z537" s="265">
        <f ca="1">[1]ExtEntry!$K40</f>
        <v>10.2828</v>
      </c>
      <c r="AB537" s="288">
        <v>1729</v>
      </c>
      <c r="AC537" s="288">
        <v>1752</v>
      </c>
      <c r="AD537" s="288">
        <v>1760.0000000000002</v>
      </c>
      <c r="AE537" s="288">
        <v>1763</v>
      </c>
      <c r="AF537" s="288">
        <v>1763</v>
      </c>
      <c r="AG537" s="288">
        <v>1768.4999999999998</v>
      </c>
      <c r="AH537" s="288">
        <v>1767.5</v>
      </c>
      <c r="AI537" s="288">
        <v>1750</v>
      </c>
      <c r="AJ537" s="288">
        <v>1746</v>
      </c>
      <c r="AK537" s="288">
        <v>1730.5</v>
      </c>
      <c r="AL537" s="288">
        <v>1728</v>
      </c>
      <c r="AM537" s="288">
        <v>1693</v>
      </c>
      <c r="AN537" s="288">
        <v>1692.5</v>
      </c>
      <c r="AO537" s="288">
        <v>1738.5000000000002</v>
      </c>
      <c r="AP537" s="288">
        <v>1745.4999999999998</v>
      </c>
      <c r="AQ537" s="288">
        <v>1791</v>
      </c>
      <c r="AR537" s="288">
        <v>1785.5</v>
      </c>
      <c r="AS537" s="288">
        <v>1793</v>
      </c>
      <c r="AT537" s="288">
        <v>1787.5</v>
      </c>
      <c r="AU537" s="288">
        <v>1796.5</v>
      </c>
      <c r="AV537" s="288">
        <f ca="1">Calc!F40</f>
        <v>1796.5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42.788499999999999</v>
      </c>
      <c r="G538" s="271">
        <v>42.618899999999996</v>
      </c>
      <c r="H538" s="271">
        <v>42.217199999999998</v>
      </c>
      <c r="I538" s="271">
        <v>42.297499999999999</v>
      </c>
      <c r="J538" s="271">
        <v>42.297499999999999</v>
      </c>
      <c r="K538" s="271">
        <v>41.735100000000003</v>
      </c>
      <c r="L538" s="271">
        <v>41.601199999999999</v>
      </c>
      <c r="M538" s="271">
        <v>41.395899999999997</v>
      </c>
      <c r="N538" s="271">
        <v>41.395899999999997</v>
      </c>
      <c r="O538" s="271">
        <v>42.199300000000001</v>
      </c>
      <c r="P538" s="271">
        <v>41.6815</v>
      </c>
      <c r="Q538" s="271">
        <v>40.672800000000002</v>
      </c>
      <c r="R538" s="271">
        <v>41.145899999999997</v>
      </c>
      <c r="S538" s="271">
        <v>41.851199999999999</v>
      </c>
      <c r="T538" s="271">
        <v>41.4405</v>
      </c>
      <c r="U538" s="271">
        <v>40.753100000000003</v>
      </c>
      <c r="V538" s="271">
        <v>41.119100000000003</v>
      </c>
      <c r="W538" s="271">
        <v>39.9407</v>
      </c>
      <c r="X538" s="271">
        <v>39.244399999999999</v>
      </c>
      <c r="Y538" s="271">
        <v>39.440800000000003</v>
      </c>
      <c r="Z538" s="265">
        <f ca="1">[1]ExtEntry!$K41</f>
        <v>39.440800000000003</v>
      </c>
      <c r="AB538" s="284">
        <v>599125</v>
      </c>
      <c r="AC538" s="284">
        <v>596750</v>
      </c>
      <c r="AD538" s="284">
        <v>591125</v>
      </c>
      <c r="AE538" s="284">
        <v>592250</v>
      </c>
      <c r="AF538" s="284">
        <v>592250</v>
      </c>
      <c r="AG538" s="284">
        <v>584375</v>
      </c>
      <c r="AH538" s="284">
        <v>582500</v>
      </c>
      <c r="AI538" s="284">
        <v>579625</v>
      </c>
      <c r="AJ538" s="284">
        <v>591000</v>
      </c>
      <c r="AK538" s="284">
        <v>590875</v>
      </c>
      <c r="AL538" s="284">
        <v>583625</v>
      </c>
      <c r="AM538" s="284">
        <v>569500</v>
      </c>
      <c r="AN538" s="284">
        <v>576125</v>
      </c>
      <c r="AO538" s="284">
        <v>586000</v>
      </c>
      <c r="AP538" s="284">
        <v>580250</v>
      </c>
      <c r="AQ538" s="284">
        <v>576125</v>
      </c>
      <c r="AR538" s="284">
        <v>575750</v>
      </c>
      <c r="AS538" s="284">
        <v>559250</v>
      </c>
      <c r="AT538" s="284">
        <v>549500</v>
      </c>
      <c r="AU538" s="284">
        <v>552250</v>
      </c>
      <c r="AV538" s="284">
        <f ca="1">Calc!F41</f>
        <v>552250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353165</v>
      </c>
      <c r="AC539" s="288">
        <v>360870</v>
      </c>
      <c r="AD539" s="288">
        <v>360180</v>
      </c>
      <c r="AE539" s="288">
        <v>358800</v>
      </c>
      <c r="AF539" s="288">
        <v>358800</v>
      </c>
      <c r="AG539" s="288">
        <v>359260</v>
      </c>
      <c r="AH539" s="288">
        <v>358110</v>
      </c>
      <c r="AI539" s="288">
        <v>361100</v>
      </c>
      <c r="AJ539" s="288">
        <v>357190</v>
      </c>
      <c r="AK539" s="288">
        <v>359720</v>
      </c>
      <c r="AL539" s="288">
        <v>350750</v>
      </c>
      <c r="AM539" s="288">
        <v>346380</v>
      </c>
      <c r="AN539" s="288">
        <v>345920</v>
      </c>
      <c r="AO539" s="288">
        <v>347990</v>
      </c>
      <c r="AP539" s="288">
        <v>342930</v>
      </c>
      <c r="AQ539" s="288">
        <v>347530</v>
      </c>
      <c r="AR539" s="288">
        <v>342930</v>
      </c>
      <c r="AS539" s="288">
        <v>342700</v>
      </c>
      <c r="AT539" s="288">
        <v>346495</v>
      </c>
      <c r="AU539" s="288">
        <v>341780</v>
      </c>
      <c r="AV539" s="288">
        <f ca="1">Calc!F42</f>
        <v>341780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146400</v>
      </c>
      <c r="AC540" s="284">
        <v>148955.19999999998</v>
      </c>
      <c r="AD540" s="284">
        <v>148480</v>
      </c>
      <c r="AE540" s="284">
        <v>169760</v>
      </c>
      <c r="AF540" s="284">
        <v>169760</v>
      </c>
      <c r="AG540" s="284">
        <v>165120</v>
      </c>
      <c r="AH540" s="284">
        <v>174720</v>
      </c>
      <c r="AI540" s="284">
        <v>172000</v>
      </c>
      <c r="AJ540" s="284">
        <v>176640</v>
      </c>
      <c r="AK540" s="284">
        <v>178400</v>
      </c>
      <c r="AL540" s="284">
        <v>170400</v>
      </c>
      <c r="AM540" s="284">
        <v>164160</v>
      </c>
      <c r="AN540" s="284">
        <v>164640</v>
      </c>
      <c r="AO540" s="284">
        <v>162240</v>
      </c>
      <c r="AP540" s="284">
        <v>162880</v>
      </c>
      <c r="AQ540" s="284">
        <v>164800</v>
      </c>
      <c r="AR540" s="284">
        <v>161920</v>
      </c>
      <c r="AS540" s="284">
        <v>156800</v>
      </c>
      <c r="AT540" s="284">
        <v>157840</v>
      </c>
      <c r="AU540" s="284">
        <v>156960</v>
      </c>
      <c r="AV540" s="284">
        <f ca="1">Calc!F43</f>
        <v>156960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184.66149999999999</v>
      </c>
      <c r="G541" s="271">
        <v>185.73699999999999</v>
      </c>
      <c r="H541" s="271">
        <v>185.4254</v>
      </c>
      <c r="I541" s="271">
        <v>183.77440000000001</v>
      </c>
      <c r="J541" s="271">
        <v>183.77440000000001</v>
      </c>
      <c r="K541" s="271">
        <v>180.49600000000001</v>
      </c>
      <c r="L541" s="271">
        <v>193.14570000000001</v>
      </c>
      <c r="M541" s="271">
        <v>195.971</v>
      </c>
      <c r="N541" s="271">
        <v>194.8175</v>
      </c>
      <c r="O541" s="271">
        <v>192.24189999999999</v>
      </c>
      <c r="P541" s="271">
        <v>192.80449999999999</v>
      </c>
      <c r="Q541" s="271">
        <v>182.63200000000001</v>
      </c>
      <c r="R541" s="271">
        <v>185.1825</v>
      </c>
      <c r="S541" s="271">
        <v>186.17859999999999</v>
      </c>
      <c r="T541" s="271">
        <v>188.65289999999999</v>
      </c>
      <c r="U541" s="271">
        <v>195.5129</v>
      </c>
      <c r="V541" s="271">
        <v>193.3519</v>
      </c>
      <c r="W541" s="271">
        <v>193.3562</v>
      </c>
      <c r="X541" s="271">
        <v>205.29949999999999</v>
      </c>
      <c r="Y541" s="271">
        <v>205.52699999999999</v>
      </c>
      <c r="Z541" s="265">
        <f ca="1">[1]ExtEntry!$K44</f>
        <v>205.52699999999999</v>
      </c>
      <c r="AB541" s="288">
        <v>3313.75</v>
      </c>
      <c r="AC541" s="288">
        <v>3333.05</v>
      </c>
      <c r="AD541" s="288">
        <v>3327.4579999999996</v>
      </c>
      <c r="AE541" s="288">
        <v>3297.8320000000003</v>
      </c>
      <c r="AF541" s="288">
        <v>3297.8320000000003</v>
      </c>
      <c r="AG541" s="288">
        <v>3239</v>
      </c>
      <c r="AH541" s="288">
        <v>3466</v>
      </c>
      <c r="AI541" s="288">
        <v>3516.7000000000003</v>
      </c>
      <c r="AJ541" s="288">
        <v>3496</v>
      </c>
      <c r="AK541" s="288">
        <v>3449.78</v>
      </c>
      <c r="AL541" s="288">
        <v>3338.7</v>
      </c>
      <c r="AM541" s="288">
        <v>3277.3320000000003</v>
      </c>
      <c r="AN541" s="288">
        <v>3323.1</v>
      </c>
      <c r="AO541" s="288">
        <v>3340.8999999999996</v>
      </c>
      <c r="AP541" s="288">
        <v>3385.2999999999997</v>
      </c>
      <c r="AQ541" s="288">
        <v>3464</v>
      </c>
      <c r="AR541" s="288">
        <v>3469.7000000000003</v>
      </c>
      <c r="AS541" s="288">
        <v>3477.9</v>
      </c>
      <c r="AT541" s="288">
        <v>3684.1000000000004</v>
      </c>
      <c r="AU541" s="288">
        <v>3959.4</v>
      </c>
      <c r="AV541" s="288">
        <f ca="1">Calc!F44</f>
        <v>3959.4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24.867100000000001</v>
      </c>
      <c r="G542" s="271">
        <v>24.799800000000001</v>
      </c>
      <c r="H542" s="271">
        <v>24.976400000000002</v>
      </c>
      <c r="I542" s="271">
        <v>24.2562</v>
      </c>
      <c r="J542" s="271">
        <v>24.2562</v>
      </c>
      <c r="K542" s="271">
        <v>23.712</v>
      </c>
      <c r="L542" s="271">
        <v>24.4252</v>
      </c>
      <c r="M542" s="271">
        <v>24.7258</v>
      </c>
      <c r="N542" s="271">
        <v>24.802499999999998</v>
      </c>
      <c r="O542" s="271">
        <v>24.677099999999999</v>
      </c>
      <c r="P542" s="271">
        <v>24.7</v>
      </c>
      <c r="Q542" s="271">
        <v>23.511399999999998</v>
      </c>
      <c r="R542" s="271">
        <v>23.865400000000001</v>
      </c>
      <c r="S542" s="271">
        <v>23.986799999999999</v>
      </c>
      <c r="T542" s="271">
        <v>24.3828</v>
      </c>
      <c r="U542" s="271">
        <v>25.6235</v>
      </c>
      <c r="V542" s="271">
        <v>26.007100000000001</v>
      </c>
      <c r="W542" s="271">
        <v>26.995999999999999</v>
      </c>
      <c r="X542" s="271">
        <v>26.8291</v>
      </c>
      <c r="Y542" s="271">
        <v>26.888200000000001</v>
      </c>
      <c r="Z542" s="265">
        <f ca="1">[1]ExtEntry!$K45</f>
        <v>26.888200000000001</v>
      </c>
      <c r="AB542" s="284">
        <v>1319340</v>
      </c>
      <c r="AC542" s="284">
        <v>1315771.6000000001</v>
      </c>
      <c r="AD542" s="284">
        <v>1325156.25</v>
      </c>
      <c r="AE542" s="284">
        <v>1286945</v>
      </c>
      <c r="AF542" s="284">
        <v>1286945</v>
      </c>
      <c r="AG542" s="284">
        <v>1258070</v>
      </c>
      <c r="AH542" s="284">
        <v>1295910</v>
      </c>
      <c r="AI542" s="284">
        <v>1311860</v>
      </c>
      <c r="AJ542" s="284">
        <v>1315930</v>
      </c>
      <c r="AK542" s="284">
        <v>1309275</v>
      </c>
      <c r="AL542" s="284">
        <v>1269785</v>
      </c>
      <c r="AM542" s="284">
        <v>1247427.5</v>
      </c>
      <c r="AN542" s="284">
        <v>1266210</v>
      </c>
      <c r="AO542" s="284">
        <v>1272645</v>
      </c>
      <c r="AP542" s="284">
        <v>1293655</v>
      </c>
      <c r="AQ542" s="284">
        <v>1359490</v>
      </c>
      <c r="AR542" s="284">
        <v>1379840</v>
      </c>
      <c r="AS542" s="284">
        <v>1432310</v>
      </c>
      <c r="AT542" s="284">
        <v>1423455</v>
      </c>
      <c r="AU542" s="284">
        <v>1426590</v>
      </c>
      <c r="AV542" s="284">
        <f ca="1">Calc!F45</f>
        <v>1426590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112350.00000000001</v>
      </c>
      <c r="AC543" s="288">
        <v>114600.00000000001</v>
      </c>
      <c r="AD543" s="288">
        <v>112649.99999999999</v>
      </c>
      <c r="AE543" s="288">
        <v>112649.99999999999</v>
      </c>
      <c r="AF543" s="288">
        <v>112649.99999999999</v>
      </c>
      <c r="AG543" s="288">
        <v>112950</v>
      </c>
      <c r="AH543" s="288">
        <v>115500</v>
      </c>
      <c r="AI543" s="288">
        <v>112500</v>
      </c>
      <c r="AJ543" s="288">
        <v>111300</v>
      </c>
      <c r="AK543" s="288">
        <v>113100.00000000001</v>
      </c>
      <c r="AL543" s="288">
        <v>109649.99999999999</v>
      </c>
      <c r="AM543" s="288">
        <v>105899.99999999999</v>
      </c>
      <c r="AN543" s="288">
        <v>107399.99999999999</v>
      </c>
      <c r="AO543" s="288">
        <v>107399.99999999999</v>
      </c>
      <c r="AP543" s="288">
        <v>109800</v>
      </c>
      <c r="AQ543" s="288">
        <v>105600.00000000001</v>
      </c>
      <c r="AR543" s="288">
        <v>106800</v>
      </c>
      <c r="AS543" s="288">
        <v>108750</v>
      </c>
      <c r="AT543" s="288">
        <v>106050</v>
      </c>
      <c r="AU543" s="288">
        <v>108750</v>
      </c>
      <c r="AV543" s="288">
        <f ca="1">Calc!F46</f>
        <v>108750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27.448499999999999</v>
      </c>
      <c r="G544" s="271">
        <v>25.9983</v>
      </c>
      <c r="H544" s="271">
        <v>26.0824</v>
      </c>
      <c r="I544" s="271">
        <v>26.061399999999999</v>
      </c>
      <c r="J544" s="271">
        <v>26.061399999999999</v>
      </c>
      <c r="K544" s="271">
        <v>25.640999999999998</v>
      </c>
      <c r="L544" s="271">
        <v>26.397600000000001</v>
      </c>
      <c r="M544" s="271">
        <v>27.2804</v>
      </c>
      <c r="N544" s="271">
        <v>27.8689</v>
      </c>
      <c r="O544" s="271">
        <v>28.583400000000001</v>
      </c>
      <c r="P544" s="271">
        <v>27.704599999999999</v>
      </c>
      <c r="Q544" s="271">
        <v>25.409800000000001</v>
      </c>
      <c r="R544" s="271">
        <v>25.157599999999999</v>
      </c>
      <c r="S544" s="271">
        <v>25.350300000000001</v>
      </c>
      <c r="T544" s="271">
        <v>26.275200000000002</v>
      </c>
      <c r="U544" s="271">
        <v>30.454000000000001</v>
      </c>
      <c r="V544" s="271">
        <v>30.5213</v>
      </c>
      <c r="W544" s="271">
        <v>28.793600000000001</v>
      </c>
      <c r="X544" s="271">
        <v>29.991599999999998</v>
      </c>
      <c r="Y544" s="271">
        <v>29.171900000000001</v>
      </c>
      <c r="Z544" s="265">
        <f ca="1">[1]ExtEntry!$K47</f>
        <v>29.171900000000001</v>
      </c>
      <c r="AB544" s="284">
        <v>47244.55</v>
      </c>
      <c r="AC544" s="284">
        <v>44748.474999999999</v>
      </c>
      <c r="AD544" s="284">
        <v>44893.175000000003</v>
      </c>
      <c r="AE544" s="284">
        <v>44857</v>
      </c>
      <c r="AF544" s="284">
        <v>44857</v>
      </c>
      <c r="AG544" s="284">
        <v>44133.5</v>
      </c>
      <c r="AH544" s="284">
        <v>45435.8</v>
      </c>
      <c r="AI544" s="284">
        <v>46955.15</v>
      </c>
      <c r="AJ544" s="284">
        <v>47968.049999999996</v>
      </c>
      <c r="AK544" s="284">
        <v>49198</v>
      </c>
      <c r="AL544" s="284">
        <v>45580.5</v>
      </c>
      <c r="AM544" s="284">
        <v>43735.574999999997</v>
      </c>
      <c r="AN544" s="284">
        <v>43301.475000000006</v>
      </c>
      <c r="AO544" s="284">
        <v>43627.05</v>
      </c>
      <c r="AP544" s="284">
        <v>45218.75</v>
      </c>
      <c r="AQ544" s="284">
        <v>131040.315</v>
      </c>
      <c r="AR544" s="284">
        <v>129141.18</v>
      </c>
      <c r="AS544" s="284">
        <v>123895.95</v>
      </c>
      <c r="AT544" s="284">
        <v>129050.745</v>
      </c>
      <c r="AU544" s="284">
        <v>125523.78000000001</v>
      </c>
      <c r="AV544" s="284">
        <f ca="1">Calc!F47</f>
        <v>125523.78000000001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112.9066</v>
      </c>
      <c r="G545" s="271">
        <v>111.4551</v>
      </c>
      <c r="H545" s="271">
        <v>110.3284</v>
      </c>
      <c r="I545" s="271">
        <v>107.3158</v>
      </c>
      <c r="J545" s="271">
        <v>107.3158</v>
      </c>
      <c r="K545" s="271">
        <v>107.5513</v>
      </c>
      <c r="L545" s="271">
        <v>107.3049</v>
      </c>
      <c r="M545" s="271">
        <v>107.30329999999999</v>
      </c>
      <c r="N545" s="271">
        <v>109.51949999999999</v>
      </c>
      <c r="O545" s="271">
        <v>112.4836</v>
      </c>
      <c r="P545" s="271">
        <v>112.5622</v>
      </c>
      <c r="Q545" s="271">
        <v>107.3523</v>
      </c>
      <c r="R545" s="271">
        <v>109.205</v>
      </c>
      <c r="S545" s="271">
        <v>110.2792</v>
      </c>
      <c r="T545" s="271">
        <v>78.467500000000001</v>
      </c>
      <c r="U545" s="271">
        <v>88.605500000000006</v>
      </c>
      <c r="V545" s="271">
        <v>88.605900000000005</v>
      </c>
      <c r="W545" s="271">
        <v>86.304000000000002</v>
      </c>
      <c r="X545" s="271">
        <v>92.176400000000001</v>
      </c>
      <c r="Y545" s="271">
        <v>92.250699999999995</v>
      </c>
      <c r="Z545" s="265">
        <f ca="1">[1]ExtEntry!$K48</f>
        <v>92.250699999999995</v>
      </c>
      <c r="AB545" s="288">
        <v>108356.49999999999</v>
      </c>
      <c r="AC545" s="288">
        <v>106963.5</v>
      </c>
      <c r="AD545" s="288">
        <v>105882.175</v>
      </c>
      <c r="AE545" s="288">
        <v>102991</v>
      </c>
      <c r="AF545" s="288">
        <v>102991</v>
      </c>
      <c r="AG545" s="288">
        <v>101909.5</v>
      </c>
      <c r="AH545" s="288">
        <v>102980.5</v>
      </c>
      <c r="AI545" s="288">
        <v>104303.5</v>
      </c>
      <c r="AJ545" s="288">
        <v>105105.90999999999</v>
      </c>
      <c r="AK545" s="288">
        <v>107950.5</v>
      </c>
      <c r="AL545" s="288">
        <v>104086.5</v>
      </c>
      <c r="AM545" s="288">
        <v>103026.03499999999</v>
      </c>
      <c r="AN545" s="288">
        <v>104804</v>
      </c>
      <c r="AO545" s="288">
        <v>105836.5</v>
      </c>
      <c r="AP545" s="288">
        <v>107135.00000000001</v>
      </c>
      <c r="AQ545" s="288">
        <v>120977.49999999999</v>
      </c>
      <c r="AR545" s="288">
        <v>117834.5</v>
      </c>
      <c r="AS545" s="288">
        <v>129349.5</v>
      </c>
      <c r="AT545" s="288">
        <v>125853</v>
      </c>
      <c r="AU545" s="288">
        <v>125954.5</v>
      </c>
      <c r="AV545" s="288">
        <f ca="1">Calc!F48</f>
        <v>125954.5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45592.5</v>
      </c>
      <c r="AC546" s="284">
        <v>46027.5</v>
      </c>
      <c r="AD546" s="284">
        <v>45312</v>
      </c>
      <c r="AE546" s="284">
        <v>46211.25</v>
      </c>
      <c r="AF546" s="284">
        <v>46211.25</v>
      </c>
      <c r="AG546" s="284">
        <v>46365</v>
      </c>
      <c r="AH546" s="284">
        <v>46215</v>
      </c>
      <c r="AI546" s="284">
        <v>46305</v>
      </c>
      <c r="AJ546" s="284">
        <v>45825</v>
      </c>
      <c r="AK546" s="284">
        <v>46057.5</v>
      </c>
      <c r="AL546" s="284">
        <v>46086</v>
      </c>
      <c r="AM546" s="284">
        <v>44310</v>
      </c>
      <c r="AN546" s="284">
        <v>43968</v>
      </c>
      <c r="AO546" s="284">
        <v>44040</v>
      </c>
      <c r="AP546" s="284">
        <v>43845</v>
      </c>
      <c r="AQ546" s="284">
        <v>43770</v>
      </c>
      <c r="AR546" s="284">
        <v>43860</v>
      </c>
      <c r="AS546" s="284">
        <v>43710</v>
      </c>
      <c r="AT546" s="284">
        <v>44287.5</v>
      </c>
      <c r="AU546" s="284">
        <v>43970.25</v>
      </c>
      <c r="AV546" s="284">
        <f ca="1">Calc!F49</f>
        <v>43970.25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13.5892</v>
      </c>
      <c r="H547" s="271">
        <v>13.747199999999999</v>
      </c>
      <c r="I547" s="271">
        <v>13.8375</v>
      </c>
      <c r="J547" s="271">
        <v>13.8375</v>
      </c>
      <c r="K547" s="271">
        <v>13.724600000000001</v>
      </c>
      <c r="L547" s="271">
        <v>13.905200000000001</v>
      </c>
      <c r="M547" s="271">
        <v>13.86</v>
      </c>
      <c r="N547" s="271">
        <v>13.86</v>
      </c>
      <c r="O547" s="271">
        <v>13.8826</v>
      </c>
      <c r="P547" s="271">
        <v>13.7698</v>
      </c>
      <c r="Q547" s="271">
        <v>13.611700000000001</v>
      </c>
      <c r="R547" s="271">
        <v>13.6343</v>
      </c>
      <c r="S547" s="271">
        <v>13.8826</v>
      </c>
      <c r="T547" s="271">
        <v>13.9955</v>
      </c>
      <c r="U547" s="271">
        <v>13.8826</v>
      </c>
      <c r="V547" s="271">
        <v>13.9503</v>
      </c>
      <c r="W547" s="271">
        <v>13.9503</v>
      </c>
      <c r="X547" s="271">
        <v>13.86</v>
      </c>
      <c r="Y547" s="271">
        <v>13.8375</v>
      </c>
      <c r="Z547" s="265">
        <f ca="1">[1]ExtEntry!$K50</f>
        <v>13.8375</v>
      </c>
      <c r="AB547" s="288">
        <v>844803</v>
      </c>
      <c r="AC547" s="288">
        <v>843402</v>
      </c>
      <c r="AD547" s="288">
        <v>853209</v>
      </c>
      <c r="AE547" s="288">
        <v>858813</v>
      </c>
      <c r="AF547" s="288">
        <v>858813</v>
      </c>
      <c r="AG547" s="288">
        <v>851808</v>
      </c>
      <c r="AH547" s="288">
        <v>863016</v>
      </c>
      <c r="AI547" s="288">
        <v>860214</v>
      </c>
      <c r="AJ547" s="288">
        <v>861615</v>
      </c>
      <c r="AK547" s="288">
        <v>861615</v>
      </c>
      <c r="AL547" s="288">
        <v>854610</v>
      </c>
      <c r="AM547" s="288">
        <v>844803</v>
      </c>
      <c r="AN547" s="288">
        <v>846204</v>
      </c>
      <c r="AO547" s="288">
        <v>861615</v>
      </c>
      <c r="AP547" s="288">
        <v>806000</v>
      </c>
      <c r="AQ547" s="288">
        <v>803400</v>
      </c>
      <c r="AR547" s="288">
        <v>803400</v>
      </c>
      <c r="AS547" s="288">
        <v>802100</v>
      </c>
      <c r="AT547" s="288">
        <v>798200</v>
      </c>
      <c r="AU547" s="288">
        <v>796900</v>
      </c>
      <c r="AV547" s="288">
        <f ca="1">Calc!F50</f>
        <v>796900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105700</v>
      </c>
      <c r="AC548" s="284">
        <v>105600</v>
      </c>
      <c r="AD548" s="284">
        <v>107300</v>
      </c>
      <c r="AE548" s="284">
        <v>106250</v>
      </c>
      <c r="AF548" s="284">
        <v>106250</v>
      </c>
      <c r="AG548" s="284">
        <v>106500</v>
      </c>
      <c r="AH548" s="284">
        <v>52750</v>
      </c>
      <c r="AI548" s="284">
        <v>52050</v>
      </c>
      <c r="AJ548" s="284">
        <v>52100</v>
      </c>
      <c r="AK548" s="284">
        <v>51299.5</v>
      </c>
      <c r="AL548" s="284">
        <v>52750</v>
      </c>
      <c r="AM548" s="284">
        <v>52450</v>
      </c>
      <c r="AN548" s="284">
        <v>52725</v>
      </c>
      <c r="AO548" s="284">
        <v>52750</v>
      </c>
      <c r="AP548" s="284">
        <v>51650</v>
      </c>
      <c r="AQ548" s="284">
        <v>52400</v>
      </c>
      <c r="AR548" s="284">
        <v>52250</v>
      </c>
      <c r="AS548" s="284">
        <v>51200</v>
      </c>
      <c r="AT548" s="284">
        <v>50700</v>
      </c>
      <c r="AU548" s="284">
        <v>49800.000000000007</v>
      </c>
      <c r="AV548" s="284">
        <f ca="1">Calc!F51</f>
        <v>49800.000000000007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35865</v>
      </c>
      <c r="AC549" s="288">
        <v>36073.199999999997</v>
      </c>
      <c r="AD549" s="288">
        <v>35985</v>
      </c>
      <c r="AE549" s="288">
        <v>36135</v>
      </c>
      <c r="AF549" s="288">
        <v>36135</v>
      </c>
      <c r="AG549" s="288">
        <v>36600</v>
      </c>
      <c r="AH549" s="288">
        <v>35910</v>
      </c>
      <c r="AI549" s="288">
        <v>35760</v>
      </c>
      <c r="AJ549" s="288">
        <v>35940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15.1401</v>
      </c>
      <c r="G550" s="271">
        <v>15.1898</v>
      </c>
      <c r="H550" s="271">
        <v>15.163500000000001</v>
      </c>
      <c r="I550" s="271">
        <v>15.2104</v>
      </c>
      <c r="J550" s="271">
        <v>15.2104</v>
      </c>
      <c r="K550" s="271">
        <v>15.2423</v>
      </c>
      <c r="L550" s="271">
        <v>15.856</v>
      </c>
      <c r="M550" s="271">
        <v>15.8255</v>
      </c>
      <c r="N550" s="271">
        <v>15.994300000000001</v>
      </c>
      <c r="O550" s="271">
        <v>16.012799999999999</v>
      </c>
      <c r="P550" s="271">
        <v>16.0837</v>
      </c>
      <c r="Q550" s="271">
        <v>16.236999999999998</v>
      </c>
      <c r="R550" s="271">
        <v>15.9291</v>
      </c>
      <c r="S550" s="271">
        <v>15.8794</v>
      </c>
      <c r="T550" s="271">
        <v>15.9489</v>
      </c>
      <c r="U550" s="271">
        <v>15.594200000000001</v>
      </c>
      <c r="V550" s="271">
        <v>15.7042</v>
      </c>
      <c r="W550" s="271">
        <v>15.9688</v>
      </c>
      <c r="X550" s="271">
        <v>15.933299999999999</v>
      </c>
      <c r="Y550" s="271">
        <v>15.9191</v>
      </c>
      <c r="Z550" s="265">
        <f ca="1">[1]ExtEntry!$K53</f>
        <v>15.9191</v>
      </c>
      <c r="AB550" s="284">
        <v>21340</v>
      </c>
      <c r="AC550" s="284">
        <v>21410</v>
      </c>
      <c r="AD550" s="284">
        <v>21373</v>
      </c>
      <c r="AE550" s="284">
        <v>21439</v>
      </c>
      <c r="AF550" s="284">
        <v>21439</v>
      </c>
      <c r="AG550" s="284">
        <v>21710</v>
      </c>
      <c r="AH550" s="284">
        <v>22349</v>
      </c>
      <c r="AI550" s="284">
        <v>22306</v>
      </c>
      <c r="AJ550" s="284">
        <v>22544</v>
      </c>
      <c r="AK550" s="284">
        <v>22570</v>
      </c>
      <c r="AL550" s="284">
        <v>22858</v>
      </c>
      <c r="AM550" s="284">
        <v>22886</v>
      </c>
      <c r="AN550" s="284">
        <v>22452</v>
      </c>
      <c r="AO550" s="284">
        <v>22382</v>
      </c>
      <c r="AP550" s="284">
        <v>22480</v>
      </c>
      <c r="AQ550" s="284">
        <v>21980</v>
      </c>
      <c r="AR550" s="284">
        <v>22135</v>
      </c>
      <c r="AS550" s="284">
        <v>22508</v>
      </c>
      <c r="AT550" s="284">
        <v>22458</v>
      </c>
      <c r="AU550" s="284">
        <v>22438</v>
      </c>
      <c r="AV550" s="284">
        <f ca="1">Calc!F53</f>
        <v>22438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99</v>
      </c>
      <c r="I551" s="271">
        <v>0</v>
      </c>
      <c r="J551" s="271">
        <v>0</v>
      </c>
      <c r="K551" s="271">
        <v>99</v>
      </c>
      <c r="L551" s="271">
        <v>99</v>
      </c>
      <c r="M551" s="271">
        <v>99</v>
      </c>
      <c r="N551" s="271">
        <v>99</v>
      </c>
      <c r="O551" s="271">
        <v>0</v>
      </c>
      <c r="P551" s="271">
        <v>99</v>
      </c>
      <c r="Q551" s="271">
        <v>0</v>
      </c>
      <c r="R551" s="271">
        <v>0</v>
      </c>
      <c r="S551" s="271">
        <v>99</v>
      </c>
      <c r="T551" s="271">
        <v>99</v>
      </c>
      <c r="U551" s="271">
        <v>99</v>
      </c>
      <c r="V551" s="271">
        <v>99</v>
      </c>
      <c r="W551" s="271">
        <v>99</v>
      </c>
      <c r="X551" s="271">
        <v>0</v>
      </c>
      <c r="Y551" s="271">
        <v>99</v>
      </c>
      <c r="Z551" s="265">
        <f>[1]ExtEntry!$K54</f>
        <v>99</v>
      </c>
      <c r="AB551" s="288">
        <v>29100</v>
      </c>
      <c r="AC551" s="288">
        <v>29200</v>
      </c>
      <c r="AD551" s="288">
        <v>30250</v>
      </c>
      <c r="AE551" s="288">
        <v>30825</v>
      </c>
      <c r="AF551" s="288">
        <v>30825</v>
      </c>
      <c r="AG551" s="288">
        <v>30200</v>
      </c>
      <c r="AH551" s="288">
        <v>31200</v>
      </c>
      <c r="AI551" s="288">
        <v>30050</v>
      </c>
      <c r="AJ551" s="288">
        <v>30450</v>
      </c>
      <c r="AK551" s="288">
        <v>30179.999999999996</v>
      </c>
      <c r="AL551" s="288">
        <v>30000</v>
      </c>
      <c r="AM551" s="288">
        <v>29275.000000000004</v>
      </c>
      <c r="AN551" s="288">
        <v>29650</v>
      </c>
      <c r="AO551" s="288">
        <v>29400</v>
      </c>
      <c r="AP551" s="288">
        <v>30099.999999999996</v>
      </c>
      <c r="AQ551" s="288">
        <v>30650</v>
      </c>
      <c r="AR551" s="288">
        <v>30050</v>
      </c>
      <c r="AS551" s="288">
        <v>29700.000000000004</v>
      </c>
      <c r="AT551" s="288">
        <v>30275</v>
      </c>
      <c r="AU551" s="288">
        <v>30150</v>
      </c>
      <c r="AV551" s="288">
        <f ca="1">Calc!F54</f>
        <v>30150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474700</v>
      </c>
      <c r="AD552" s="284">
        <v>484800</v>
      </c>
      <c r="AE552" s="284">
        <v>478740</v>
      </c>
      <c r="AF552" s="284">
        <v>478740</v>
      </c>
      <c r="AG552" s="284">
        <v>474700</v>
      </c>
      <c r="AH552" s="284">
        <v>463590</v>
      </c>
      <c r="AI552" s="284">
        <v>459550</v>
      </c>
      <c r="AJ552" s="284">
        <v>463590</v>
      </c>
      <c r="AK552" s="284">
        <v>463590</v>
      </c>
      <c r="AL552" s="284">
        <v>460560</v>
      </c>
      <c r="AM552" s="284">
        <v>454500</v>
      </c>
      <c r="AN552" s="284">
        <v>468640</v>
      </c>
      <c r="AO552" s="284">
        <v>454500</v>
      </c>
      <c r="AP552" s="284">
        <v>450460</v>
      </c>
      <c r="AQ552" s="284">
        <v>449450</v>
      </c>
      <c r="AR552" s="284">
        <v>455510</v>
      </c>
      <c r="AS552" s="284">
        <v>458540</v>
      </c>
      <c r="AT552" s="284">
        <v>448440</v>
      </c>
      <c r="AU552" s="284">
        <v>449450</v>
      </c>
      <c r="AV552" s="284">
        <f ca="1">Calc!F55</f>
        <v>449450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99</v>
      </c>
      <c r="G553" s="271">
        <v>0</v>
      </c>
      <c r="H553" s="271">
        <v>99</v>
      </c>
      <c r="I553" s="271">
        <v>0</v>
      </c>
      <c r="J553" s="271">
        <v>0</v>
      </c>
      <c r="K553" s="271">
        <v>99</v>
      </c>
      <c r="L553" s="271">
        <v>99</v>
      </c>
      <c r="M553" s="271">
        <v>99</v>
      </c>
      <c r="N553" s="271">
        <v>0</v>
      </c>
      <c r="O553" s="271">
        <v>0</v>
      </c>
      <c r="P553" s="271">
        <v>99</v>
      </c>
      <c r="Q553" s="271">
        <v>0</v>
      </c>
      <c r="R553" s="271">
        <v>0</v>
      </c>
      <c r="S553" s="271">
        <v>99</v>
      </c>
      <c r="T553" s="271">
        <v>0</v>
      </c>
      <c r="U553" s="271">
        <v>99</v>
      </c>
      <c r="V553" s="271">
        <v>99</v>
      </c>
      <c r="W553" s="271">
        <v>99</v>
      </c>
      <c r="X553" s="271">
        <v>0</v>
      </c>
      <c r="Y553" s="271">
        <v>99</v>
      </c>
      <c r="Z553" s="265">
        <f>[1]ExtEntry!$K56</f>
        <v>99</v>
      </c>
      <c r="AB553" s="288">
        <v>20600</v>
      </c>
      <c r="AC553" s="288">
        <v>20901</v>
      </c>
      <c r="AD553" s="288">
        <v>20099.999999999996</v>
      </c>
      <c r="AE553" s="288">
        <v>19850</v>
      </c>
      <c r="AF553" s="288">
        <v>19850</v>
      </c>
      <c r="AG553" s="288">
        <v>19700</v>
      </c>
      <c r="AH553" s="288">
        <v>21750</v>
      </c>
      <c r="AI553" s="288">
        <v>21450</v>
      </c>
      <c r="AJ553" s="288">
        <v>25650</v>
      </c>
      <c r="AK553" s="288">
        <v>24242</v>
      </c>
      <c r="AL553" s="288">
        <v>23000</v>
      </c>
      <c r="AM553" s="288">
        <v>22050</v>
      </c>
      <c r="AN553" s="288">
        <v>21203</v>
      </c>
      <c r="AO553" s="288">
        <v>20500</v>
      </c>
      <c r="AP553" s="288">
        <v>20500</v>
      </c>
      <c r="AQ553" s="288">
        <v>21700</v>
      </c>
      <c r="AR553" s="288">
        <v>21000</v>
      </c>
      <c r="AS553" s="288">
        <v>21200</v>
      </c>
      <c r="AT553" s="288">
        <v>22500</v>
      </c>
      <c r="AU553" s="288">
        <v>22250</v>
      </c>
      <c r="AV553" s="288">
        <f ca="1">Calc!F56</f>
        <v>22250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30.610099999999999</v>
      </c>
      <c r="G554" s="271">
        <v>31.0123</v>
      </c>
      <c r="H554" s="271">
        <v>30.679099999999998</v>
      </c>
      <c r="I554" s="271">
        <v>31.023800000000001</v>
      </c>
      <c r="J554" s="271">
        <v>31.023800000000001</v>
      </c>
      <c r="K554" s="271">
        <v>31.356999999999999</v>
      </c>
      <c r="L554" s="271">
        <v>31.173200000000001</v>
      </c>
      <c r="M554" s="271">
        <v>30.782499999999999</v>
      </c>
      <c r="N554" s="271">
        <v>30.3918</v>
      </c>
      <c r="O554" s="271">
        <v>31.000800000000002</v>
      </c>
      <c r="P554" s="271">
        <v>30.6676</v>
      </c>
      <c r="Q554" s="271">
        <v>30.2654</v>
      </c>
      <c r="R554" s="271">
        <v>30.3918</v>
      </c>
      <c r="S554" s="271">
        <v>30.5182</v>
      </c>
      <c r="T554" s="271">
        <v>30.8629</v>
      </c>
      <c r="U554" s="271">
        <v>30.794</v>
      </c>
      <c r="V554" s="271">
        <v>31.4604</v>
      </c>
      <c r="W554" s="271">
        <v>31.977499999999999</v>
      </c>
      <c r="X554" s="271">
        <v>31.356999999999999</v>
      </c>
      <c r="Y554" s="271">
        <v>31.667200000000001</v>
      </c>
      <c r="Z554" s="265">
        <f ca="1">[1]ExtEntry!$K57</f>
        <v>31.667200000000001</v>
      </c>
      <c r="AB554" s="284">
        <v>319680</v>
      </c>
      <c r="AC554" s="284">
        <v>323880</v>
      </c>
      <c r="AD554" s="284">
        <v>320400</v>
      </c>
      <c r="AE554" s="284">
        <v>324000</v>
      </c>
      <c r="AF554" s="284">
        <v>324000</v>
      </c>
      <c r="AG554" s="284">
        <v>327480</v>
      </c>
      <c r="AH554" s="284">
        <v>321480</v>
      </c>
      <c r="AI554" s="284">
        <v>317400</v>
      </c>
      <c r="AJ554" s="284">
        <v>322080</v>
      </c>
      <c r="AK554" s="284">
        <v>323760</v>
      </c>
      <c r="AL554" s="284">
        <v>320280</v>
      </c>
      <c r="AM554" s="284">
        <v>316080</v>
      </c>
      <c r="AN554" s="284">
        <v>317400</v>
      </c>
      <c r="AO554" s="284">
        <v>318720</v>
      </c>
      <c r="AP554" s="284">
        <v>322320</v>
      </c>
      <c r="AQ554" s="284">
        <v>328560</v>
      </c>
      <c r="AR554" s="284">
        <v>333960</v>
      </c>
      <c r="AS554" s="284">
        <v>328320</v>
      </c>
      <c r="AT554" s="284">
        <v>327480</v>
      </c>
      <c r="AU554" s="284">
        <v>330720</v>
      </c>
      <c r="AV554" s="284">
        <f ca="1">Calc!F57</f>
        <v>330720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9.3071000000000002</v>
      </c>
      <c r="G555" s="271">
        <v>13.126300000000001</v>
      </c>
      <c r="H555" s="271">
        <v>13.0145</v>
      </c>
      <c r="I555" s="271">
        <v>12.9979</v>
      </c>
      <c r="J555" s="271">
        <v>12.9979</v>
      </c>
      <c r="K555" s="271">
        <v>12.931699999999999</v>
      </c>
      <c r="L555" s="271">
        <v>12.766</v>
      </c>
      <c r="M555" s="271">
        <v>12.894399999999999</v>
      </c>
      <c r="N555" s="271">
        <v>12.894399999999999</v>
      </c>
      <c r="O555" s="271">
        <v>12.8489</v>
      </c>
      <c r="P555" s="271">
        <v>12.5093</v>
      </c>
      <c r="Q555" s="271">
        <v>12.1532</v>
      </c>
      <c r="R555" s="271">
        <v>12.0952</v>
      </c>
      <c r="S555" s="271">
        <v>12.434799999999999</v>
      </c>
      <c r="T555" s="271">
        <v>12.455500000000001</v>
      </c>
      <c r="U555" s="271">
        <v>12.567299999999999</v>
      </c>
      <c r="V555" s="271">
        <v>12.674899999999999</v>
      </c>
      <c r="W555" s="271">
        <v>12.6957</v>
      </c>
      <c r="X555" s="271">
        <v>12.666700000000001</v>
      </c>
      <c r="Y555" s="271">
        <v>12.857100000000001</v>
      </c>
      <c r="Z555" s="265">
        <f ca="1">[1]ExtEntry!$K58</f>
        <v>12.857100000000001</v>
      </c>
      <c r="AB555" s="288">
        <v>159.85</v>
      </c>
      <c r="AC555" s="288">
        <v>158.5</v>
      </c>
      <c r="AD555" s="288">
        <v>157.15</v>
      </c>
      <c r="AE555" s="288">
        <v>156.94999999999999</v>
      </c>
      <c r="AF555" s="288">
        <v>156.94999999999999</v>
      </c>
      <c r="AG555" s="288">
        <v>156.15</v>
      </c>
      <c r="AH555" s="288">
        <v>154.14999999999998</v>
      </c>
      <c r="AI555" s="288">
        <v>155.69999999999999</v>
      </c>
      <c r="AJ555" s="288">
        <v>156.75</v>
      </c>
      <c r="AK555" s="288">
        <v>155.15</v>
      </c>
      <c r="AL555" s="288">
        <v>151.05000000000001</v>
      </c>
      <c r="AM555" s="288">
        <v>146.75</v>
      </c>
      <c r="AN555" s="288">
        <v>146.05000000000001</v>
      </c>
      <c r="AO555" s="288">
        <v>150.15</v>
      </c>
      <c r="AP555" s="288">
        <v>150.39999999999998</v>
      </c>
      <c r="AQ555" s="288">
        <v>153.45000000000002</v>
      </c>
      <c r="AR555" s="288">
        <v>153.05000000000001</v>
      </c>
      <c r="AS555" s="288">
        <v>153.30000000000001</v>
      </c>
      <c r="AT555" s="288">
        <v>152.94999999999999</v>
      </c>
      <c r="AU555" s="288">
        <v>155.25</v>
      </c>
      <c r="AV555" s="288">
        <f ca="1">Calc!F58</f>
        <v>155.25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18.7056</v>
      </c>
      <c r="G556" s="271">
        <v>18.665700000000001</v>
      </c>
      <c r="H556" s="271">
        <v>18.653199999999998</v>
      </c>
      <c r="I556" s="271">
        <v>18.743099999999998</v>
      </c>
      <c r="J556" s="271">
        <v>18.743099999999998</v>
      </c>
      <c r="K556" s="271">
        <v>18.848099999999999</v>
      </c>
      <c r="L556" s="271">
        <v>19.047999999999998</v>
      </c>
      <c r="M556" s="271">
        <v>18.978000000000002</v>
      </c>
      <c r="N556" s="271">
        <v>18.978000000000002</v>
      </c>
      <c r="O556" s="271">
        <v>18.955500000000001</v>
      </c>
      <c r="P556" s="271">
        <v>19.167899999999999</v>
      </c>
      <c r="Q556" s="271">
        <v>18.895600000000002</v>
      </c>
      <c r="R556" s="271">
        <v>18.640699999999999</v>
      </c>
      <c r="S556" s="271">
        <v>18.638200000000001</v>
      </c>
      <c r="T556" s="271">
        <v>18.5932</v>
      </c>
      <c r="U556" s="271">
        <v>18.273399999999999</v>
      </c>
      <c r="V556" s="271">
        <v>18.3508</v>
      </c>
      <c r="W556" s="271">
        <v>18.6707</v>
      </c>
      <c r="X556" s="271">
        <v>18.6432</v>
      </c>
      <c r="Y556" s="271">
        <v>18.5932</v>
      </c>
      <c r="Z556" s="265">
        <f ca="1">[1]ExtEntry!$K59</f>
        <v>18.5932</v>
      </c>
      <c r="AB556" s="284">
        <v>598880</v>
      </c>
      <c r="AC556" s="284">
        <v>598880</v>
      </c>
      <c r="AD556" s="284">
        <v>597200</v>
      </c>
      <c r="AE556" s="284">
        <v>600080</v>
      </c>
      <c r="AF556" s="284">
        <v>600080</v>
      </c>
      <c r="AG556" s="284">
        <v>603440</v>
      </c>
      <c r="AH556" s="284">
        <v>609840</v>
      </c>
      <c r="AI556" s="284">
        <v>607600</v>
      </c>
      <c r="AJ556" s="284">
        <v>608960</v>
      </c>
      <c r="AK556" s="284">
        <v>606880</v>
      </c>
      <c r="AL556" s="284">
        <v>613680</v>
      </c>
      <c r="AM556" s="284">
        <v>604960</v>
      </c>
      <c r="AN556" s="284">
        <v>596800</v>
      </c>
      <c r="AO556" s="284">
        <v>596720</v>
      </c>
      <c r="AP556" s="284">
        <v>595280</v>
      </c>
      <c r="AQ556" s="284">
        <v>587520</v>
      </c>
      <c r="AR556" s="284">
        <v>597760</v>
      </c>
      <c r="AS556" s="284">
        <v>598320</v>
      </c>
      <c r="AT556" s="284">
        <v>596880</v>
      </c>
      <c r="AU556" s="284">
        <v>595280</v>
      </c>
      <c r="AV556" s="284">
        <f ca="1">Calc!F59</f>
        <v>595280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22920</v>
      </c>
      <c r="AC557" s="288">
        <v>22976.400000000001</v>
      </c>
      <c r="AD557" s="288">
        <v>22980</v>
      </c>
      <c r="AE557" s="288">
        <v>23040</v>
      </c>
      <c r="AF557" s="288">
        <v>23040</v>
      </c>
      <c r="AG557" s="288">
        <v>23160</v>
      </c>
      <c r="AH557" s="288">
        <v>9391.1999999999989</v>
      </c>
      <c r="AI557" s="288">
        <v>3157.2</v>
      </c>
      <c r="AJ557" s="288">
        <v>2947.2000000000003</v>
      </c>
      <c r="AK557" s="288">
        <v>2818.8</v>
      </c>
      <c r="AL557" s="288">
        <v>2880</v>
      </c>
      <c r="AM557" s="288">
        <v>2800.8</v>
      </c>
      <c r="AN557" s="288">
        <v>2820</v>
      </c>
      <c r="AO557" s="288">
        <v>2838</v>
      </c>
      <c r="AP557" s="288">
        <v>2779.2</v>
      </c>
      <c r="AQ557" s="288">
        <v>2842.8</v>
      </c>
      <c r="AR557" s="288">
        <v>2880</v>
      </c>
      <c r="AS557" s="288">
        <v>2460</v>
      </c>
      <c r="AT557" s="288">
        <v>2460</v>
      </c>
      <c r="AU557" s="288">
        <v>2434.8000000000002</v>
      </c>
      <c r="AV557" s="288">
        <f ca="1">Calc!F60</f>
        <v>2434.8000000000002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9.7978000000000005</v>
      </c>
      <c r="G558" s="271">
        <v>9.8246000000000002</v>
      </c>
      <c r="H558" s="271">
        <v>9.7141000000000002</v>
      </c>
      <c r="I558" s="271">
        <v>9.7676999999999996</v>
      </c>
      <c r="J558" s="271">
        <v>9.7676999999999996</v>
      </c>
      <c r="K558" s="271">
        <v>9.7676999999999996</v>
      </c>
      <c r="L558" s="271">
        <v>9.3490000000000002</v>
      </c>
      <c r="M558" s="271">
        <v>8.7091999999999992</v>
      </c>
      <c r="N558" s="271">
        <v>8.7091999999999992</v>
      </c>
      <c r="O558" s="271">
        <v>8.8163999999999998</v>
      </c>
      <c r="P558" s="271">
        <v>8.9001000000000001</v>
      </c>
      <c r="Q558" s="271">
        <v>8.7561</v>
      </c>
      <c r="R558" s="271">
        <v>8.8331</v>
      </c>
      <c r="S558" s="271">
        <v>8.9403000000000006</v>
      </c>
      <c r="T558" s="271">
        <v>9.0341000000000005</v>
      </c>
      <c r="U558" s="271">
        <v>8.8834</v>
      </c>
      <c r="V558" s="271">
        <v>9.0977999999999994</v>
      </c>
      <c r="W558" s="271">
        <v>9.0977999999999994</v>
      </c>
      <c r="X558" s="271">
        <v>9.6471</v>
      </c>
      <c r="Y558" s="271">
        <v>9.5901999999999994</v>
      </c>
      <c r="Z558" s="265">
        <f ca="1">[1]ExtEntry!$K61</f>
        <v>9.5901999999999994</v>
      </c>
      <c r="AB558" s="284">
        <v>585</v>
      </c>
      <c r="AC558" s="284">
        <v>117320</v>
      </c>
      <c r="AD558" s="284">
        <v>116000</v>
      </c>
      <c r="AE558" s="284">
        <v>116640</v>
      </c>
      <c r="AF558" s="284">
        <v>116640</v>
      </c>
      <c r="AG558" s="284">
        <v>114840</v>
      </c>
      <c r="AH558" s="284">
        <v>111640</v>
      </c>
      <c r="AI558" s="284">
        <v>104000</v>
      </c>
      <c r="AJ558" s="284">
        <v>104000</v>
      </c>
      <c r="AK558" s="284">
        <v>105280</v>
      </c>
      <c r="AL558" s="284">
        <v>106280</v>
      </c>
      <c r="AM558" s="284">
        <v>104560</v>
      </c>
      <c r="AN558" s="284">
        <v>105480</v>
      </c>
      <c r="AO558" s="284">
        <v>106760</v>
      </c>
      <c r="AP558" s="284">
        <v>107880</v>
      </c>
      <c r="AQ558" s="284">
        <v>107520</v>
      </c>
      <c r="AR558" s="284">
        <v>108640</v>
      </c>
      <c r="AS558" s="284">
        <v>111640</v>
      </c>
      <c r="AT558" s="284">
        <v>115200</v>
      </c>
      <c r="AU558" s="284">
        <v>114520</v>
      </c>
      <c r="AV558" s="284">
        <f ca="1">Calc!F61</f>
        <v>114520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45.4574</v>
      </c>
      <c r="G559" s="271">
        <v>45.583599999999997</v>
      </c>
      <c r="H559" s="271">
        <v>45.741300000000003</v>
      </c>
      <c r="I559" s="271">
        <v>45.435899999999997</v>
      </c>
      <c r="J559" s="271">
        <v>45.435899999999997</v>
      </c>
      <c r="K559" s="271">
        <v>45.7517</v>
      </c>
      <c r="L559" s="271">
        <v>44.898899999999998</v>
      </c>
      <c r="M559" s="271">
        <v>43.825000000000003</v>
      </c>
      <c r="N559" s="271">
        <v>43.825000000000003</v>
      </c>
      <c r="O559" s="271">
        <v>43.414400000000001</v>
      </c>
      <c r="P559" s="271">
        <v>43.8566</v>
      </c>
      <c r="Q559" s="271">
        <v>43.5092</v>
      </c>
      <c r="R559" s="271">
        <v>42.703699999999998</v>
      </c>
      <c r="S559" s="271">
        <v>43.209099999999999</v>
      </c>
      <c r="T559" s="271">
        <v>43.209099999999999</v>
      </c>
      <c r="U559" s="271">
        <v>43.035400000000003</v>
      </c>
      <c r="V559" s="271">
        <v>43.177500000000002</v>
      </c>
      <c r="W559" s="271">
        <v>43.177500000000002</v>
      </c>
      <c r="X559" s="271">
        <v>43.3354</v>
      </c>
      <c r="Y559" s="271">
        <v>43.904000000000003</v>
      </c>
      <c r="Z559" s="265">
        <f ca="1">[1]ExtEntry!$K62</f>
        <v>43.904000000000003</v>
      </c>
      <c r="AB559" s="288">
        <v>288200</v>
      </c>
      <c r="AC559" s="288">
        <v>332350</v>
      </c>
      <c r="AD559" s="288">
        <v>333500</v>
      </c>
      <c r="AE559" s="288">
        <v>330855</v>
      </c>
      <c r="AF559" s="288">
        <v>330855</v>
      </c>
      <c r="AG559" s="288">
        <v>333155</v>
      </c>
      <c r="AH559" s="288">
        <v>326945</v>
      </c>
      <c r="AI559" s="288">
        <v>319125</v>
      </c>
      <c r="AJ559" s="288">
        <v>318780</v>
      </c>
      <c r="AK559" s="288">
        <v>316135</v>
      </c>
      <c r="AL559" s="288">
        <v>319355</v>
      </c>
      <c r="AM559" s="288">
        <v>316825</v>
      </c>
      <c r="AN559" s="288">
        <v>283920</v>
      </c>
      <c r="AO559" s="288">
        <v>287280</v>
      </c>
      <c r="AP559" s="288">
        <v>287280</v>
      </c>
      <c r="AQ559" s="288">
        <v>284025</v>
      </c>
      <c r="AR559" s="288">
        <v>287070</v>
      </c>
      <c r="AS559" s="288">
        <v>288120</v>
      </c>
      <c r="AT559" s="288">
        <v>291690</v>
      </c>
      <c r="AU559" s="288">
        <v>291900</v>
      </c>
      <c r="AV559" s="288">
        <f ca="1">Calc!F62</f>
        <v>291900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6.4105999999999996</v>
      </c>
      <c r="G560" s="271">
        <v>6.4958999999999998</v>
      </c>
      <c r="H560" s="271">
        <v>6.5255000000000001</v>
      </c>
      <c r="I560" s="271">
        <v>10.090999999999999</v>
      </c>
      <c r="J560" s="271">
        <v>10.090999999999999</v>
      </c>
      <c r="K560" s="271">
        <v>10.1225</v>
      </c>
      <c r="L560" s="271">
        <v>10.1168</v>
      </c>
      <c r="M560" s="271">
        <v>10.0166</v>
      </c>
      <c r="N560" s="271">
        <v>10.0166</v>
      </c>
      <c r="O560" s="271">
        <v>9.9049999999999994</v>
      </c>
      <c r="P560" s="271">
        <v>9.8907000000000007</v>
      </c>
      <c r="Q560" s="271">
        <v>9.6903000000000006</v>
      </c>
      <c r="R560" s="271">
        <v>9.6875</v>
      </c>
      <c r="S560" s="271">
        <v>9.9507999999999992</v>
      </c>
      <c r="T560" s="271">
        <v>9.9908000000000001</v>
      </c>
      <c r="U560" s="271">
        <v>10.0223</v>
      </c>
      <c r="V560" s="271">
        <v>10.219799999999999</v>
      </c>
      <c r="W560" s="271">
        <v>10.262700000000001</v>
      </c>
      <c r="X560" s="271">
        <v>10.231199999999999</v>
      </c>
      <c r="Y560" s="271">
        <v>10.2828</v>
      </c>
      <c r="Z560" s="265">
        <f ca="1">[1]ExtEntry!$K63</f>
        <v>10.2828</v>
      </c>
      <c r="AB560" s="284">
        <v>34.58</v>
      </c>
      <c r="AC560" s="284">
        <v>35.04</v>
      </c>
      <c r="AD560" s="284">
        <v>35.200000000000003</v>
      </c>
      <c r="AE560" s="284">
        <v>35.26</v>
      </c>
      <c r="AF560" s="284">
        <v>35.26</v>
      </c>
      <c r="AG560" s="284">
        <v>35.369999999999997</v>
      </c>
      <c r="AH560" s="284">
        <v>35.35</v>
      </c>
      <c r="AI560" s="284">
        <v>35</v>
      </c>
      <c r="AJ560" s="284">
        <v>34.92</v>
      </c>
      <c r="AK560" s="284">
        <v>34.61</v>
      </c>
      <c r="AL560" s="284">
        <v>34.56</v>
      </c>
      <c r="AM560" s="284">
        <v>33.86</v>
      </c>
      <c r="AN560" s="284">
        <v>33.85</v>
      </c>
      <c r="AO560" s="284">
        <v>34.770000000000003</v>
      </c>
      <c r="AP560" s="284">
        <v>34.909999999999997</v>
      </c>
      <c r="AQ560" s="284">
        <v>35.82</v>
      </c>
      <c r="AR560" s="284">
        <v>35.71</v>
      </c>
      <c r="AS560" s="284">
        <v>35.86</v>
      </c>
      <c r="AT560" s="284">
        <v>35.75</v>
      </c>
      <c r="AU560" s="284">
        <v>35.93</v>
      </c>
      <c r="AV560" s="284">
        <f ca="1">Calc!F63</f>
        <v>35.93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42.788499999999999</v>
      </c>
      <c r="G561" s="271">
        <v>42.618899999999996</v>
      </c>
      <c r="H561" s="271">
        <v>42.217199999999998</v>
      </c>
      <c r="I561" s="271">
        <v>42.297499999999999</v>
      </c>
      <c r="J561" s="271">
        <v>42.297499999999999</v>
      </c>
      <c r="K561" s="271">
        <v>41.735100000000003</v>
      </c>
      <c r="L561" s="271">
        <v>41.601199999999999</v>
      </c>
      <c r="M561" s="271">
        <v>41.395899999999997</v>
      </c>
      <c r="N561" s="271">
        <v>41.395899999999997</v>
      </c>
      <c r="O561" s="271">
        <v>42.199300000000001</v>
      </c>
      <c r="P561" s="271">
        <v>41.6815</v>
      </c>
      <c r="Q561" s="271">
        <v>40.672800000000002</v>
      </c>
      <c r="R561" s="271">
        <v>41.145899999999997</v>
      </c>
      <c r="S561" s="271">
        <v>41.851199999999999</v>
      </c>
      <c r="T561" s="271">
        <v>41.4405</v>
      </c>
      <c r="U561" s="271">
        <v>40.753100000000003</v>
      </c>
      <c r="V561" s="271">
        <v>41.119100000000003</v>
      </c>
      <c r="W561" s="271">
        <v>39.9407</v>
      </c>
      <c r="X561" s="271">
        <v>39.244399999999999</v>
      </c>
      <c r="Y561" s="271">
        <v>39.440800000000003</v>
      </c>
      <c r="Z561" s="265">
        <f ca="1">[1]ExtEntry!$K64</f>
        <v>39.440800000000003</v>
      </c>
      <c r="AB561" s="288">
        <v>96099.650000000009</v>
      </c>
      <c r="AC561" s="288">
        <v>95718.7</v>
      </c>
      <c r="AD561" s="288">
        <v>94816.45</v>
      </c>
      <c r="AE561" s="288">
        <v>94996.900000000009</v>
      </c>
      <c r="AF561" s="288">
        <v>94996.900000000009</v>
      </c>
      <c r="AG561" s="288">
        <v>93733.75</v>
      </c>
      <c r="AH561" s="288">
        <v>93433</v>
      </c>
      <c r="AI561" s="288">
        <v>92971.849999999991</v>
      </c>
      <c r="AJ561" s="288">
        <v>94796.400000000009</v>
      </c>
      <c r="AK561" s="288">
        <v>94776.349999999991</v>
      </c>
      <c r="AL561" s="288">
        <v>93613.45</v>
      </c>
      <c r="AM561" s="288">
        <v>91347.8</v>
      </c>
      <c r="AN561" s="288">
        <v>92410.45</v>
      </c>
      <c r="AO561" s="288">
        <v>93994.400000000009</v>
      </c>
      <c r="AP561" s="288">
        <v>93072.099999999991</v>
      </c>
      <c r="AQ561" s="288">
        <v>92410.45</v>
      </c>
      <c r="AR561" s="288">
        <v>92350.3</v>
      </c>
      <c r="AS561" s="288">
        <v>89703.7</v>
      </c>
      <c r="AT561" s="288">
        <v>88139.8</v>
      </c>
      <c r="AU561" s="288">
        <v>88580.900000000009</v>
      </c>
      <c r="AV561" s="288">
        <f ca="1">Calc!F64</f>
        <v>88580.900000000009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20972</v>
      </c>
      <c r="AC562" s="284">
        <v>21392</v>
      </c>
      <c r="AD562" s="284">
        <v>21028</v>
      </c>
      <c r="AE562" s="284">
        <v>21028</v>
      </c>
      <c r="AF562" s="284">
        <v>21028</v>
      </c>
      <c r="AG562" s="284">
        <v>21084</v>
      </c>
      <c r="AH562" s="284">
        <v>21560</v>
      </c>
      <c r="AI562" s="284">
        <v>21000</v>
      </c>
      <c r="AJ562" s="284">
        <v>20776</v>
      </c>
      <c r="AK562" s="284">
        <v>21112</v>
      </c>
      <c r="AL562" s="284">
        <v>20468</v>
      </c>
      <c r="AM562" s="284">
        <v>19768</v>
      </c>
      <c r="AN562" s="284">
        <v>20048</v>
      </c>
      <c r="AO562" s="284">
        <v>20048</v>
      </c>
      <c r="AP562" s="284">
        <v>20496</v>
      </c>
      <c r="AQ562" s="284">
        <v>19712</v>
      </c>
      <c r="AR562" s="284">
        <v>19936</v>
      </c>
      <c r="AS562" s="284">
        <v>20300</v>
      </c>
      <c r="AT562" s="284">
        <v>19796</v>
      </c>
      <c r="AU562" s="284">
        <v>20300</v>
      </c>
      <c r="AV562" s="284">
        <f ca="1">Calc!F65</f>
        <v>20300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32.023499999999999</v>
      </c>
      <c r="G563" s="271">
        <v>31.893899999999999</v>
      </c>
      <c r="H563" s="271">
        <v>31.862100000000002</v>
      </c>
      <c r="I563" s="271">
        <v>31.7394</v>
      </c>
      <c r="J563" s="271">
        <v>31.7394</v>
      </c>
      <c r="K563" s="271">
        <v>31.172499999999999</v>
      </c>
      <c r="L563" s="271">
        <v>31.413699999999999</v>
      </c>
      <c r="M563" s="271">
        <v>31.627700000000001</v>
      </c>
      <c r="N563" s="271">
        <v>31.790400000000002</v>
      </c>
      <c r="O563" s="271">
        <v>31.915900000000001</v>
      </c>
      <c r="P563" s="271">
        <v>32.075800000000001</v>
      </c>
      <c r="Q563" s="271">
        <v>31.388999999999999</v>
      </c>
      <c r="R563" s="271">
        <v>32.577300000000001</v>
      </c>
      <c r="S563" s="271">
        <v>32.890900000000002</v>
      </c>
      <c r="T563" s="271">
        <v>33.071599999999997</v>
      </c>
      <c r="U563" s="271">
        <v>32.809699999999999</v>
      </c>
      <c r="V563" s="271">
        <v>32.8095</v>
      </c>
      <c r="W563" s="271">
        <v>31.280100000000001</v>
      </c>
      <c r="X563" s="271">
        <v>31.778700000000001</v>
      </c>
      <c r="Y563" s="271">
        <v>31.726800000000001</v>
      </c>
      <c r="Z563" s="265">
        <f ca="1">[1]ExtEntry!$K66</f>
        <v>31.726800000000001</v>
      </c>
      <c r="AB563" s="288">
        <v>185744</v>
      </c>
      <c r="AC563" s="288">
        <v>184992</v>
      </c>
      <c r="AD563" s="288">
        <v>184808</v>
      </c>
      <c r="AE563" s="288">
        <v>184096</v>
      </c>
      <c r="AF563" s="288">
        <v>184096</v>
      </c>
      <c r="AG563" s="288">
        <v>180808</v>
      </c>
      <c r="AH563" s="288">
        <v>181728</v>
      </c>
      <c r="AI563" s="288">
        <v>183448</v>
      </c>
      <c r="AJ563" s="288">
        <v>184392</v>
      </c>
      <c r="AK563" s="288">
        <v>185119.92</v>
      </c>
      <c r="AL563" s="288">
        <v>185712</v>
      </c>
      <c r="AM563" s="288">
        <v>182063.84</v>
      </c>
      <c r="AN563" s="288">
        <v>188956.32</v>
      </c>
      <c r="AO563" s="288">
        <v>190776</v>
      </c>
      <c r="AP563" s="288">
        <v>191824</v>
      </c>
      <c r="AQ563" s="288">
        <v>190304</v>
      </c>
      <c r="AR563" s="288">
        <v>187480</v>
      </c>
      <c r="AS563" s="288">
        <v>181432</v>
      </c>
      <c r="AT563" s="288">
        <v>115202.5</v>
      </c>
      <c r="AU563" s="288">
        <v>117035</v>
      </c>
      <c r="AV563" s="288">
        <f ca="1">Calc!F66</f>
        <v>117035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35.242800000000003</v>
      </c>
      <c r="G564" s="271">
        <v>35.338500000000003</v>
      </c>
      <c r="H564" s="271">
        <v>35.127899999999997</v>
      </c>
      <c r="I564" s="271">
        <v>34.715899999999998</v>
      </c>
      <c r="J564" s="271">
        <v>34.715899999999998</v>
      </c>
      <c r="K564" s="271">
        <v>34.152799999999999</v>
      </c>
      <c r="L564" s="271">
        <v>34.783000000000001</v>
      </c>
      <c r="M564" s="271">
        <v>34.900500000000001</v>
      </c>
      <c r="N564" s="271">
        <v>34.963099999999997</v>
      </c>
      <c r="O564" s="271">
        <v>35.485999999999997</v>
      </c>
      <c r="P564" s="271">
        <v>35.3416</v>
      </c>
      <c r="Q564" s="271">
        <v>33.933500000000002</v>
      </c>
      <c r="R564" s="271">
        <v>34.483899999999998</v>
      </c>
      <c r="S564" s="271">
        <v>34.485500000000002</v>
      </c>
      <c r="T564" s="271">
        <v>35.964199999999998</v>
      </c>
      <c r="U564" s="271">
        <v>35.988500000000002</v>
      </c>
      <c r="V564" s="271">
        <v>36.354799999999997</v>
      </c>
      <c r="W564" s="271">
        <v>36.354900000000001</v>
      </c>
      <c r="X564" s="271">
        <v>35.119500000000002</v>
      </c>
      <c r="Y564" s="271">
        <v>34.815100000000001</v>
      </c>
      <c r="Z564" s="265">
        <f ca="1">[1]ExtEntry!$K67</f>
        <v>34.815100000000001</v>
      </c>
      <c r="AB564" s="284">
        <v>461906.4</v>
      </c>
      <c r="AC564" s="284">
        <v>463160</v>
      </c>
      <c r="AD564" s="284">
        <v>460400</v>
      </c>
      <c r="AE564" s="284">
        <v>455000</v>
      </c>
      <c r="AF564" s="284">
        <v>455000</v>
      </c>
      <c r="AG564" s="284">
        <v>447620</v>
      </c>
      <c r="AH564" s="284">
        <v>455880</v>
      </c>
      <c r="AI564" s="284">
        <v>457420</v>
      </c>
      <c r="AJ564" s="284">
        <v>458240</v>
      </c>
      <c r="AK564" s="284">
        <v>465094.2</v>
      </c>
      <c r="AL564" s="284">
        <v>458000</v>
      </c>
      <c r="AM564" s="284">
        <v>444745.8</v>
      </c>
      <c r="AN564" s="284">
        <v>451960</v>
      </c>
      <c r="AO564" s="284">
        <v>451980</v>
      </c>
      <c r="AP564" s="284">
        <v>471360</v>
      </c>
      <c r="AQ564" s="284">
        <v>471680</v>
      </c>
      <c r="AR564" s="284">
        <v>476480</v>
      </c>
      <c r="AS564" s="284">
        <v>460660</v>
      </c>
      <c r="AT564" s="284">
        <v>460290</v>
      </c>
      <c r="AU564" s="284">
        <v>456300</v>
      </c>
      <c r="AV564" s="284">
        <f ca="1">Calc!F67</f>
        <v>456300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24.685099999999998</v>
      </c>
      <c r="G565" s="271">
        <v>24.454699999999999</v>
      </c>
      <c r="H565" s="271">
        <v>24.404800000000002</v>
      </c>
      <c r="I565" s="271">
        <v>24.661999999999999</v>
      </c>
      <c r="J565" s="271">
        <v>24.661999999999999</v>
      </c>
      <c r="K565" s="271">
        <v>24.5046</v>
      </c>
      <c r="L565" s="271">
        <v>24.831</v>
      </c>
      <c r="M565" s="271">
        <v>24.980699999999999</v>
      </c>
      <c r="N565" s="271">
        <v>24.980699999999999</v>
      </c>
      <c r="O565" s="271">
        <v>25.130500000000001</v>
      </c>
      <c r="P565" s="271">
        <v>24.412400000000002</v>
      </c>
      <c r="Q565" s="271">
        <v>23.6906</v>
      </c>
      <c r="R565" s="271">
        <v>24.1936</v>
      </c>
      <c r="S565" s="271">
        <v>24.3203</v>
      </c>
      <c r="T565" s="271">
        <v>25.4376</v>
      </c>
      <c r="U565" s="271">
        <v>25.978999999999999</v>
      </c>
      <c r="V565" s="271">
        <v>26.232399999999998</v>
      </c>
      <c r="W565" s="271">
        <v>26.232399999999998</v>
      </c>
      <c r="X565" s="271">
        <v>26.3399</v>
      </c>
      <c r="Y565" s="271">
        <v>26.485800000000001</v>
      </c>
      <c r="Z565" s="265">
        <f ca="1">[1]ExtEntry!$K68</f>
        <v>26.485800000000001</v>
      </c>
      <c r="AB565" s="288">
        <v>150438.6</v>
      </c>
      <c r="AC565" s="288">
        <v>149034.6</v>
      </c>
      <c r="AD565" s="288">
        <v>148730.4</v>
      </c>
      <c r="AE565" s="288">
        <v>150298.19999999998</v>
      </c>
      <c r="AF565" s="288">
        <v>150298.19999999998</v>
      </c>
      <c r="AG565" s="288">
        <v>149338.80000000002</v>
      </c>
      <c r="AH565" s="288">
        <v>151327.80000000002</v>
      </c>
      <c r="AI565" s="288">
        <v>152240.4</v>
      </c>
      <c r="AJ565" s="288">
        <v>154486.80000000002</v>
      </c>
      <c r="AK565" s="288">
        <v>153153</v>
      </c>
      <c r="AL565" s="288">
        <v>148777.19999999998</v>
      </c>
      <c r="AM565" s="288">
        <v>144378</v>
      </c>
      <c r="AN565" s="288">
        <v>147443.4</v>
      </c>
      <c r="AO565" s="288">
        <v>148215.6</v>
      </c>
      <c r="AP565" s="288">
        <v>119250</v>
      </c>
      <c r="AQ565" s="288">
        <v>121788</v>
      </c>
      <c r="AR565" s="288">
        <v>122976.00000000001</v>
      </c>
      <c r="AS565" s="288">
        <v>122436.00000000001</v>
      </c>
      <c r="AT565" s="288">
        <v>123480</v>
      </c>
      <c r="AU565" s="288">
        <v>124163.99999999999</v>
      </c>
      <c r="AV565" s="288">
        <f ca="1">Calc!F68</f>
        <v>124163.99999999999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99</v>
      </c>
      <c r="G566" s="271">
        <v>0</v>
      </c>
      <c r="H566" s="271">
        <v>99</v>
      </c>
      <c r="I566" s="271">
        <v>0</v>
      </c>
      <c r="J566" s="271">
        <v>0</v>
      </c>
      <c r="K566" s="271">
        <v>99</v>
      </c>
      <c r="L566" s="271">
        <v>99</v>
      </c>
      <c r="M566" s="271">
        <v>99</v>
      </c>
      <c r="N566" s="271">
        <v>0</v>
      </c>
      <c r="O566" s="271">
        <v>0</v>
      </c>
      <c r="P566" s="271">
        <v>99</v>
      </c>
      <c r="Q566" s="271">
        <v>0</v>
      </c>
      <c r="R566" s="271">
        <v>0</v>
      </c>
      <c r="S566" s="271">
        <v>99</v>
      </c>
      <c r="T566" s="271">
        <v>0</v>
      </c>
      <c r="U566" s="271">
        <v>99</v>
      </c>
      <c r="V566" s="271">
        <v>99</v>
      </c>
      <c r="W566" s="271">
        <v>99</v>
      </c>
      <c r="X566" s="271">
        <v>0</v>
      </c>
      <c r="Y566" s="271">
        <v>99</v>
      </c>
      <c r="Z566" s="265">
        <f>[1]ExtEntry!$K69</f>
        <v>99</v>
      </c>
      <c r="AB566" s="284">
        <v>249260</v>
      </c>
      <c r="AC566" s="284">
        <v>252902.1</v>
      </c>
      <c r="AD566" s="284">
        <v>243209.99999999997</v>
      </c>
      <c r="AE566" s="284">
        <v>240185</v>
      </c>
      <c r="AF566" s="284">
        <v>240185</v>
      </c>
      <c r="AG566" s="284">
        <v>238370</v>
      </c>
      <c r="AH566" s="284">
        <v>263175</v>
      </c>
      <c r="AI566" s="284">
        <v>259545</v>
      </c>
      <c r="AJ566" s="284">
        <v>310365</v>
      </c>
      <c r="AK566" s="284">
        <v>293328.2</v>
      </c>
      <c r="AL566" s="284">
        <v>278300</v>
      </c>
      <c r="AM566" s="284">
        <v>266805</v>
      </c>
      <c r="AN566" s="284">
        <v>256556.3</v>
      </c>
      <c r="AO566" s="284">
        <v>248049.99999999997</v>
      </c>
      <c r="AP566" s="284">
        <v>248049.99999999997</v>
      </c>
      <c r="AQ566" s="284">
        <v>262570</v>
      </c>
      <c r="AR566" s="284">
        <v>254100</v>
      </c>
      <c r="AS566" s="284">
        <v>256520</v>
      </c>
      <c r="AT566" s="284">
        <v>272250</v>
      </c>
      <c r="AU566" s="284">
        <v>269225</v>
      </c>
      <c r="AV566" s="284">
        <f ca="1">Calc!F69</f>
        <v>269225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18.218499999999999</v>
      </c>
      <c r="G567" s="271">
        <v>18.245200000000001</v>
      </c>
      <c r="H567" s="271">
        <v>18.240500000000001</v>
      </c>
      <c r="I567" s="271">
        <v>18.209099999999999</v>
      </c>
      <c r="J567" s="271">
        <v>18.209099999999999</v>
      </c>
      <c r="K567" s="271">
        <v>18.352599999999999</v>
      </c>
      <c r="L567" s="271">
        <v>18.459199999999999</v>
      </c>
      <c r="M567" s="271">
        <v>18.4451</v>
      </c>
      <c r="N567" s="271">
        <v>18.510899999999999</v>
      </c>
      <c r="O567" s="271">
        <v>18.355699999999999</v>
      </c>
      <c r="P567" s="271">
        <v>18.4436</v>
      </c>
      <c r="Q567" s="271">
        <v>18.310199999999998</v>
      </c>
      <c r="R567" s="271">
        <v>18.2867</v>
      </c>
      <c r="S567" s="271">
        <v>18.402799999999999</v>
      </c>
      <c r="T567" s="271">
        <v>18.626999999999999</v>
      </c>
      <c r="U567" s="271">
        <v>18.631599999999999</v>
      </c>
      <c r="V567" s="271">
        <v>18.3996</v>
      </c>
      <c r="W567" s="271">
        <v>18.158200000000001</v>
      </c>
      <c r="X567" s="271">
        <v>18.3659</v>
      </c>
      <c r="Y567" s="271">
        <v>18.181699999999999</v>
      </c>
      <c r="Z567" s="265">
        <f ca="1">[1]ExtEntry!$K70</f>
        <v>18.181699999999999</v>
      </c>
      <c r="AB567" s="288">
        <v>77857.350000000006</v>
      </c>
      <c r="AC567" s="288">
        <v>77971.25</v>
      </c>
      <c r="AD567" s="288">
        <v>77951.149999999994</v>
      </c>
      <c r="AE567" s="288">
        <v>77817.149999999994</v>
      </c>
      <c r="AF567" s="288">
        <v>77817.149999999994</v>
      </c>
      <c r="AG567" s="288">
        <v>78430.2</v>
      </c>
      <c r="AH567" s="288">
        <v>78885.8</v>
      </c>
      <c r="AI567" s="288">
        <v>78825.5</v>
      </c>
      <c r="AJ567" s="288">
        <v>79106.899999999994</v>
      </c>
      <c r="AK567" s="288">
        <v>78443.600000000006</v>
      </c>
      <c r="AL567" s="288">
        <v>79314.599999999991</v>
      </c>
      <c r="AM567" s="288">
        <v>78249.3</v>
      </c>
      <c r="AN567" s="288">
        <v>78148.800000000003</v>
      </c>
      <c r="AO567" s="288">
        <v>78644.599999999991</v>
      </c>
      <c r="AP567" s="288">
        <v>79602.7</v>
      </c>
      <c r="AQ567" s="288">
        <v>79622.8</v>
      </c>
      <c r="AR567" s="288">
        <v>78631.199999999997</v>
      </c>
      <c r="AS567" s="288">
        <v>77599.399999999994</v>
      </c>
      <c r="AT567" s="288">
        <v>78487.149999999994</v>
      </c>
      <c r="AU567" s="288">
        <v>77699.899999999994</v>
      </c>
      <c r="AV567" s="288">
        <f ca="1">Calc!F70</f>
        <v>77699.899999999994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8.0373999999999999</v>
      </c>
      <c r="G568" s="271">
        <v>8.1484000000000005</v>
      </c>
      <c r="H568" s="271">
        <v>8.1227</v>
      </c>
      <c r="I568" s="271">
        <v>8.2103000000000002</v>
      </c>
      <c r="J568" s="271">
        <v>8.2103000000000002</v>
      </c>
      <c r="K568" s="271">
        <v>8.1873000000000005</v>
      </c>
      <c r="L568" s="271">
        <v>8.3999000000000006</v>
      </c>
      <c r="M568" s="271">
        <v>8.4756</v>
      </c>
      <c r="N568" s="271">
        <v>8.4669000000000008</v>
      </c>
      <c r="O568" s="271">
        <v>8.3602000000000007</v>
      </c>
      <c r="P568" s="271">
        <v>8.4307999999999996</v>
      </c>
      <c r="Q568" s="271">
        <v>8.3718000000000004</v>
      </c>
      <c r="R568" s="271">
        <v>8.3992000000000004</v>
      </c>
      <c r="S568" s="271">
        <v>8.3241999999999994</v>
      </c>
      <c r="T568" s="271">
        <v>8.3602000000000007</v>
      </c>
      <c r="U568" s="271">
        <v>8.3948</v>
      </c>
      <c r="V568" s="271">
        <v>8.3630999999999993</v>
      </c>
      <c r="W568" s="271">
        <v>8.2658000000000005</v>
      </c>
      <c r="X568" s="271">
        <v>8.4596999999999998</v>
      </c>
      <c r="Y568" s="271">
        <v>8.4329999999999998</v>
      </c>
      <c r="Z568" s="265">
        <f ca="1">[1]ExtEntry!$K71</f>
        <v>8.4329999999999998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6.9104999999999999</v>
      </c>
      <c r="G569" s="271">
        <v>6.9537000000000004</v>
      </c>
      <c r="H569" s="271">
        <v>7.0058999999999996</v>
      </c>
      <c r="I569" s="271">
        <v>7.0545999999999998</v>
      </c>
      <c r="J569" s="271">
        <v>7.0545999999999998</v>
      </c>
      <c r="K569" s="271">
        <v>7.0023</v>
      </c>
      <c r="L569" s="271">
        <v>7.1086</v>
      </c>
      <c r="M569" s="271">
        <v>7.0743999999999998</v>
      </c>
      <c r="N569" s="271">
        <v>7.0726000000000004</v>
      </c>
      <c r="O569" s="271">
        <v>7.0167999999999999</v>
      </c>
      <c r="P569" s="271">
        <v>7.0221999999999998</v>
      </c>
      <c r="Q569" s="271">
        <v>6.8095999999999997</v>
      </c>
      <c r="R569" s="271">
        <v>7.0416999999999996</v>
      </c>
      <c r="S569" s="271">
        <v>7.0384000000000002</v>
      </c>
      <c r="T569" s="271">
        <v>7.0401999999999996</v>
      </c>
      <c r="U569" s="271">
        <v>7.0221999999999998</v>
      </c>
      <c r="V569" s="271">
        <v>7.1536999999999997</v>
      </c>
      <c r="W569" s="271">
        <v>7.1680999999999999</v>
      </c>
      <c r="X569" s="271">
        <v>6.9015000000000004</v>
      </c>
      <c r="Y569" s="271">
        <v>6.8887999999999998</v>
      </c>
      <c r="Z569" s="265">
        <f ca="1">[1]ExtEntry!$K72</f>
        <v>6.8887999999999998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133099.5</v>
      </c>
      <c r="AC570" s="284">
        <v>139100</v>
      </c>
      <c r="AD570" s="284">
        <v>140175</v>
      </c>
      <c r="AE570" s="284">
        <v>139675</v>
      </c>
      <c r="AF570" s="284">
        <v>139675</v>
      </c>
      <c r="AG570" s="284">
        <v>134450</v>
      </c>
      <c r="AH570" s="284">
        <v>126750</v>
      </c>
      <c r="AI570" s="284">
        <v>123650</v>
      </c>
      <c r="AJ570" s="284">
        <v>125500</v>
      </c>
      <c r="AK570" s="284">
        <v>122225</v>
      </c>
      <c r="AL570" s="284">
        <v>120450</v>
      </c>
      <c r="AM570" s="284">
        <v>117400</v>
      </c>
      <c r="AN570" s="284">
        <v>121400</v>
      </c>
      <c r="AO570" s="284">
        <v>120250</v>
      </c>
      <c r="AP570" s="284">
        <v>121400</v>
      </c>
      <c r="AQ570" s="284">
        <v>124149.99999999999</v>
      </c>
      <c r="AR570" s="284">
        <v>122350</v>
      </c>
      <c r="AS570" s="284">
        <v>121550</v>
      </c>
      <c r="AT570" s="284">
        <v>126900</v>
      </c>
      <c r="AU570" s="284">
        <v>117550.00000000001</v>
      </c>
      <c r="AV570" s="284">
        <f ca="1">Calc!F73</f>
        <v>117550.00000000001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146416</v>
      </c>
      <c r="AC571" s="288">
        <v>153328</v>
      </c>
      <c r="AD571" s="288">
        <v>163216</v>
      </c>
      <c r="AE571" s="288">
        <v>148832</v>
      </c>
      <c r="AF571" s="288">
        <v>148832</v>
      </c>
      <c r="AG571" s="288">
        <v>146912</v>
      </c>
      <c r="AH571" s="288">
        <v>160000</v>
      </c>
      <c r="AI571" s="288">
        <v>161600</v>
      </c>
      <c r="AJ571" s="288">
        <v>166400</v>
      </c>
      <c r="AK571" s="288">
        <v>168800</v>
      </c>
      <c r="AL571" s="288">
        <v>188800</v>
      </c>
      <c r="AM571" s="288">
        <v>178400</v>
      </c>
      <c r="AN571" s="288">
        <v>181600</v>
      </c>
      <c r="AO571" s="288">
        <v>174400</v>
      </c>
      <c r="AP571" s="288">
        <v>163200</v>
      </c>
      <c r="AQ571" s="288">
        <v>176000</v>
      </c>
      <c r="AR571" s="288">
        <v>182399.99999999997</v>
      </c>
      <c r="AS571" s="288">
        <v>180799.99999999997</v>
      </c>
      <c r="AT571" s="288">
        <v>199200.00000000003</v>
      </c>
      <c r="AU571" s="288">
        <v>214400</v>
      </c>
      <c r="AV571" s="288">
        <f ca="1">Calc!F74</f>
        <v>214400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18.7056</v>
      </c>
      <c r="G572" s="271">
        <v>18.665700000000001</v>
      </c>
      <c r="H572" s="271">
        <v>18.653199999999998</v>
      </c>
      <c r="I572" s="271">
        <v>18.743099999999998</v>
      </c>
      <c r="J572" s="271">
        <v>18.743099999999998</v>
      </c>
      <c r="K572" s="271">
        <v>18.848099999999999</v>
      </c>
      <c r="L572" s="271">
        <v>19.047999999999998</v>
      </c>
      <c r="M572" s="271">
        <v>18.978000000000002</v>
      </c>
      <c r="N572" s="271">
        <v>18.978000000000002</v>
      </c>
      <c r="O572" s="271">
        <v>18.955500000000001</v>
      </c>
      <c r="P572" s="271">
        <v>19.167899999999999</v>
      </c>
      <c r="Q572" s="271">
        <v>18.895600000000002</v>
      </c>
      <c r="R572" s="271">
        <v>18.640699999999999</v>
      </c>
      <c r="S572" s="271">
        <v>18.638200000000001</v>
      </c>
      <c r="T572" s="271">
        <v>18.5932</v>
      </c>
      <c r="U572" s="271">
        <v>18.273399999999999</v>
      </c>
      <c r="V572" s="271">
        <v>18.3508</v>
      </c>
      <c r="W572" s="271">
        <v>18.6707</v>
      </c>
      <c r="X572" s="271">
        <v>18.6432</v>
      </c>
      <c r="Y572" s="271">
        <v>18.5932</v>
      </c>
      <c r="Z572" s="265">
        <f ca="1">[1]ExtEntry!$K75</f>
        <v>18.5932</v>
      </c>
      <c r="AB572" s="284">
        <v>59888</v>
      </c>
      <c r="AC572" s="284">
        <v>59888</v>
      </c>
      <c r="AD572" s="284">
        <v>59720</v>
      </c>
      <c r="AE572" s="284">
        <v>60008</v>
      </c>
      <c r="AF572" s="284">
        <v>60008</v>
      </c>
      <c r="AG572" s="284">
        <v>60344</v>
      </c>
      <c r="AH572" s="284">
        <v>60984</v>
      </c>
      <c r="AI572" s="284">
        <v>60760</v>
      </c>
      <c r="AJ572" s="284">
        <v>30448</v>
      </c>
      <c r="AK572" s="284">
        <v>30344</v>
      </c>
      <c r="AL572" s="284">
        <v>30684</v>
      </c>
      <c r="AM572" s="284">
        <v>30248</v>
      </c>
      <c r="AN572" s="284">
        <v>29840</v>
      </c>
      <c r="AO572" s="284">
        <v>29836</v>
      </c>
      <c r="AP572" s="284">
        <v>29764</v>
      </c>
      <c r="AQ572" s="284">
        <v>29376</v>
      </c>
      <c r="AR572" s="284">
        <v>29888</v>
      </c>
      <c r="AS572" s="284">
        <v>29916</v>
      </c>
      <c r="AT572" s="284">
        <v>29844</v>
      </c>
      <c r="AU572" s="284">
        <v>29764</v>
      </c>
      <c r="AV572" s="284">
        <f ca="1">Calc!F75</f>
        <v>29764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9.2457999999999991</v>
      </c>
      <c r="G573" s="271">
        <v>9.3361000000000001</v>
      </c>
      <c r="H573" s="271">
        <v>9.2348999999999997</v>
      </c>
      <c r="I573" s="271">
        <v>9.3470999999999993</v>
      </c>
      <c r="J573" s="271">
        <v>9.3470999999999993</v>
      </c>
      <c r="K573" s="271">
        <v>9.2096</v>
      </c>
      <c r="L573" s="271">
        <v>9.2348999999999997</v>
      </c>
      <c r="M573" s="271">
        <v>9.1951999999999998</v>
      </c>
      <c r="N573" s="271">
        <v>9.1516999999999999</v>
      </c>
      <c r="O573" s="271">
        <v>8.9382999999999999</v>
      </c>
      <c r="P573" s="271">
        <v>8.8823000000000008</v>
      </c>
      <c r="Q573" s="271">
        <v>8.6480999999999995</v>
      </c>
      <c r="R573" s="271">
        <v>8.8551000000000002</v>
      </c>
      <c r="S573" s="271">
        <v>8.5198999999999998</v>
      </c>
      <c r="T573" s="271">
        <v>8.4771000000000001</v>
      </c>
      <c r="U573" s="271">
        <v>8.4481999999999999</v>
      </c>
      <c r="V573" s="271">
        <v>8.5332000000000008</v>
      </c>
      <c r="W573" s="271">
        <v>8.5259999999999998</v>
      </c>
      <c r="X573" s="271">
        <v>8.4408999999999992</v>
      </c>
      <c r="Y573" s="271">
        <v>8.4771000000000001</v>
      </c>
      <c r="Z573" s="265">
        <f ca="1">[1]ExtEntry!$K76</f>
        <v>8.4771000000000001</v>
      </c>
      <c r="AB573" s="288">
        <v>153420</v>
      </c>
      <c r="AC573" s="288">
        <v>154858.50000000003</v>
      </c>
      <c r="AD573" s="288">
        <v>153180</v>
      </c>
      <c r="AE573" s="288">
        <v>155580</v>
      </c>
      <c r="AF573" s="288">
        <v>155580</v>
      </c>
      <c r="AG573" s="288">
        <v>152520</v>
      </c>
      <c r="AH573" s="288">
        <v>153180</v>
      </c>
      <c r="AI573" s="288">
        <v>151800</v>
      </c>
      <c r="AJ573" s="288">
        <v>147060</v>
      </c>
      <c r="AK573" s="288">
        <v>148260</v>
      </c>
      <c r="AL573" s="288">
        <v>147330</v>
      </c>
      <c r="AM573" s="288">
        <v>191262</v>
      </c>
      <c r="AN573" s="288">
        <v>195840</v>
      </c>
      <c r="AO573" s="288">
        <v>188425.36000000002</v>
      </c>
      <c r="AP573" s="288">
        <v>187480</v>
      </c>
      <c r="AQ573" s="288">
        <v>93760</v>
      </c>
      <c r="AR573" s="288">
        <v>94280</v>
      </c>
      <c r="AS573" s="288">
        <v>92220</v>
      </c>
      <c r="AT573" s="288">
        <v>93120</v>
      </c>
      <c r="AU573" s="288">
        <v>93860</v>
      </c>
      <c r="AV573" s="288">
        <f ca="1">Calc!F76</f>
        <v>93860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14.450100000000001</v>
      </c>
      <c r="G574" s="271">
        <v>14.6355</v>
      </c>
      <c r="H574" s="271">
        <v>14.6355</v>
      </c>
      <c r="I574" s="271">
        <v>14.801</v>
      </c>
      <c r="J574" s="271">
        <v>14.801</v>
      </c>
      <c r="K574" s="271">
        <v>14.693099999999999</v>
      </c>
      <c r="L574" s="271">
        <v>15.0703</v>
      </c>
      <c r="M574" s="271">
        <v>15.1343</v>
      </c>
      <c r="N574" s="271">
        <v>15.2315</v>
      </c>
      <c r="O574" s="271">
        <v>14.9297</v>
      </c>
      <c r="P574" s="271">
        <v>14.9739</v>
      </c>
      <c r="Q574" s="271">
        <v>14.974399999999999</v>
      </c>
      <c r="R574" s="271">
        <v>14.872</v>
      </c>
      <c r="S574" s="271">
        <v>14.8588</v>
      </c>
      <c r="T574" s="271">
        <v>14.935499999999999</v>
      </c>
      <c r="U574" s="271">
        <v>14.9297</v>
      </c>
      <c r="V574" s="271">
        <v>14.7059</v>
      </c>
      <c r="W574" s="271">
        <v>14.616400000000001</v>
      </c>
      <c r="X574" s="271">
        <v>15.032</v>
      </c>
      <c r="Y574" s="271">
        <v>14.9361</v>
      </c>
      <c r="Z574" s="265">
        <f ca="1">[1]ExtEntry!$K77</f>
        <v>14.9361</v>
      </c>
      <c r="AB574" s="284">
        <v>56500</v>
      </c>
      <c r="AC574" s="284">
        <v>57225</v>
      </c>
      <c r="AD574" s="284">
        <v>57225</v>
      </c>
      <c r="AE574" s="284">
        <v>57872</v>
      </c>
      <c r="AF574" s="284">
        <v>57872</v>
      </c>
      <c r="AG574" s="284">
        <v>57450</v>
      </c>
      <c r="AH574" s="284">
        <v>58925</v>
      </c>
      <c r="AI574" s="284">
        <v>59175.000000000007</v>
      </c>
      <c r="AJ574" s="284">
        <v>59555</v>
      </c>
      <c r="AK574" s="284">
        <v>58375</v>
      </c>
      <c r="AL574" s="284">
        <v>58850</v>
      </c>
      <c r="AM574" s="284">
        <v>58550.000000000007</v>
      </c>
      <c r="AN574" s="284">
        <v>58149.499999999993</v>
      </c>
      <c r="AO574" s="284">
        <v>58099.999999999993</v>
      </c>
      <c r="AP574" s="284">
        <v>58400</v>
      </c>
      <c r="AQ574" s="284">
        <v>58375</v>
      </c>
      <c r="AR574" s="284">
        <v>57500</v>
      </c>
      <c r="AS574" s="284">
        <v>34290</v>
      </c>
      <c r="AT574" s="284">
        <v>35265</v>
      </c>
      <c r="AU574" s="284">
        <v>35040</v>
      </c>
      <c r="AV574" s="284">
        <f ca="1">Calc!F77</f>
        <v>35040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9.7978000000000005</v>
      </c>
      <c r="G575" s="271">
        <v>9.8246000000000002</v>
      </c>
      <c r="H575" s="271">
        <v>9.7141000000000002</v>
      </c>
      <c r="I575" s="271">
        <v>9.7676999999999996</v>
      </c>
      <c r="J575" s="271">
        <v>9.7676999999999996</v>
      </c>
      <c r="K575" s="271">
        <v>9.7676999999999996</v>
      </c>
      <c r="L575" s="271">
        <v>9.3490000000000002</v>
      </c>
      <c r="M575" s="271">
        <v>8.7091999999999992</v>
      </c>
      <c r="N575" s="271">
        <v>8.7091999999999992</v>
      </c>
      <c r="O575" s="271">
        <v>8.8163999999999998</v>
      </c>
      <c r="P575" s="271">
        <v>8.9001000000000001</v>
      </c>
      <c r="Q575" s="271">
        <v>8.7561</v>
      </c>
      <c r="R575" s="271">
        <v>8.8331</v>
      </c>
      <c r="S575" s="271">
        <v>8.9403000000000006</v>
      </c>
      <c r="T575" s="271">
        <v>9.0341000000000005</v>
      </c>
      <c r="U575" s="271">
        <v>8.8834</v>
      </c>
      <c r="V575" s="271">
        <v>9.0977999999999994</v>
      </c>
      <c r="W575" s="271">
        <v>9.0977999999999994</v>
      </c>
      <c r="X575" s="271">
        <v>9.6471</v>
      </c>
      <c r="Y575" s="271">
        <v>9.5901999999999994</v>
      </c>
      <c r="Z575" s="265">
        <f ca="1">[1]ExtEntry!$K78</f>
        <v>9.5901999999999994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32.792000000000002</v>
      </c>
      <c r="G576" s="271">
        <v>32.904899999999998</v>
      </c>
      <c r="H576" s="271">
        <v>32.9255</v>
      </c>
      <c r="I576" s="271">
        <v>33.0261</v>
      </c>
      <c r="J576" s="271">
        <v>33.0261</v>
      </c>
      <c r="K576" s="271">
        <v>31.486799999999999</v>
      </c>
      <c r="L576" s="271">
        <v>32.0946</v>
      </c>
      <c r="M576" s="271">
        <v>31.448599999999999</v>
      </c>
      <c r="N576" s="271">
        <v>31.038499999999999</v>
      </c>
      <c r="O576" s="271">
        <v>31.083300000000001</v>
      </c>
      <c r="P576" s="271">
        <v>31.038499999999999</v>
      </c>
      <c r="Q576" s="271">
        <v>29.675999999999998</v>
      </c>
      <c r="R576" s="271">
        <v>29.270900000000001</v>
      </c>
      <c r="S576" s="271">
        <v>29.0824</v>
      </c>
      <c r="T576" s="271">
        <v>29.587199999999999</v>
      </c>
      <c r="U576" s="271">
        <v>30.5503</v>
      </c>
      <c r="V576" s="271">
        <v>30.188300000000002</v>
      </c>
      <c r="W576" s="271">
        <v>30.721299999999999</v>
      </c>
      <c r="X576" s="271">
        <v>31.232800000000001</v>
      </c>
      <c r="Y576" s="271">
        <v>30.615100000000002</v>
      </c>
      <c r="Z576" s="265">
        <f ca="1">[1]ExtEntry!$K79</f>
        <v>30.615100000000002</v>
      </c>
      <c r="AB576" s="284">
        <v>118488</v>
      </c>
      <c r="AC576" s="284">
        <v>118896</v>
      </c>
      <c r="AD576" s="284">
        <v>118970.34</v>
      </c>
      <c r="AE576" s="284">
        <v>119333.99999999999</v>
      </c>
      <c r="AF576" s="284">
        <v>119333.99999999999</v>
      </c>
      <c r="AG576" s="284">
        <v>113772</v>
      </c>
      <c r="AH576" s="284">
        <v>115968</v>
      </c>
      <c r="AI576" s="284">
        <v>113633.99999999999</v>
      </c>
      <c r="AJ576" s="284">
        <v>0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16.301400000000001</v>
      </c>
      <c r="G577" s="271">
        <v>16.165400000000002</v>
      </c>
      <c r="H577" s="271">
        <v>16.040199999999999</v>
      </c>
      <c r="I577" s="271">
        <v>15.899800000000001</v>
      </c>
      <c r="J577" s="271">
        <v>15.899800000000001</v>
      </c>
      <c r="K577" s="271">
        <v>15.8688</v>
      </c>
      <c r="L577" s="271">
        <v>16.281099999999999</v>
      </c>
      <c r="M577" s="271">
        <v>16.509399999999999</v>
      </c>
      <c r="N577" s="271">
        <v>16.512499999999999</v>
      </c>
      <c r="O577" s="271">
        <v>16.4998</v>
      </c>
      <c r="P577" s="271">
        <v>16.466899999999999</v>
      </c>
      <c r="Q577" s="271">
        <v>16.013000000000002</v>
      </c>
      <c r="R577" s="271">
        <v>16.0047</v>
      </c>
      <c r="S577" s="271">
        <v>16.099699999999999</v>
      </c>
      <c r="T577" s="271">
        <v>16.503900000000002</v>
      </c>
      <c r="U577" s="271">
        <v>16.342400000000001</v>
      </c>
      <c r="V577" s="271">
        <v>16.348500000000001</v>
      </c>
      <c r="W577" s="271">
        <v>16.9636</v>
      </c>
      <c r="X577" s="271">
        <v>17.303000000000001</v>
      </c>
      <c r="Y577" s="271">
        <v>17.184699999999999</v>
      </c>
      <c r="Z577" s="265">
        <f ca="1">[1]ExtEntry!$K80</f>
        <v>17.184699999999999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38251.869999999995</v>
      </c>
      <c r="AC578" s="284">
        <v>36234.53</v>
      </c>
      <c r="AD578" s="284">
        <v>33576.296600000001</v>
      </c>
      <c r="AE578" s="284">
        <v>30531.665000000001</v>
      </c>
      <c r="AF578" s="284">
        <v>30531.665000000001</v>
      </c>
      <c r="AG578" s="284">
        <v>30570.46</v>
      </c>
      <c r="AH578" s="284">
        <v>30104.92</v>
      </c>
      <c r="AI578" s="284">
        <v>28553.120000000003</v>
      </c>
      <c r="AJ578" s="284">
        <v>28553.120000000003</v>
      </c>
      <c r="AK578" s="284">
        <v>27712.044400000002</v>
      </c>
      <c r="AL578" s="284">
        <v>26380.6</v>
      </c>
      <c r="AM578" s="284">
        <v>24906.39</v>
      </c>
      <c r="AN578" s="284">
        <v>25604.699999999997</v>
      </c>
      <c r="AO578" s="284">
        <v>25604.699999999997</v>
      </c>
      <c r="AP578" s="284">
        <v>26225.42</v>
      </c>
      <c r="AQ578" s="284">
        <v>26535.78</v>
      </c>
      <c r="AR578" s="284">
        <v>26535.78</v>
      </c>
      <c r="AS578" s="284">
        <v>26070.239999999998</v>
      </c>
      <c r="AT578" s="284">
        <v>27466.86</v>
      </c>
      <c r="AU578" s="284">
        <v>29173.84</v>
      </c>
      <c r="AV578" s="284">
        <f ca="1">Calc!F81</f>
        <v>29173.84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36.556100000000001</v>
      </c>
      <c r="G579" s="271">
        <v>37.929200000000002</v>
      </c>
      <c r="H579" s="271">
        <v>37.616999999999997</v>
      </c>
      <c r="I579" s="271">
        <v>37.767099999999999</v>
      </c>
      <c r="J579" s="271">
        <v>37.767099999999999</v>
      </c>
      <c r="K579" s="271">
        <v>37.430999999999997</v>
      </c>
      <c r="L579" s="271">
        <v>39.0336</v>
      </c>
      <c r="M579" s="271">
        <v>40.101999999999997</v>
      </c>
      <c r="N579" s="271">
        <v>39.855899999999998</v>
      </c>
      <c r="O579" s="271">
        <v>39.213700000000003</v>
      </c>
      <c r="P579" s="271">
        <v>39.5914</v>
      </c>
      <c r="Q579" s="271">
        <v>38.154600000000002</v>
      </c>
      <c r="R579" s="271">
        <v>39.255699999999997</v>
      </c>
      <c r="S579" s="271">
        <v>38.811100000000003</v>
      </c>
      <c r="T579" s="271">
        <v>37.358499999999999</v>
      </c>
      <c r="U579" s="271">
        <v>38.0792</v>
      </c>
      <c r="V579" s="271">
        <v>37.2029</v>
      </c>
      <c r="W579" s="271">
        <v>37.346899999999998</v>
      </c>
      <c r="X579" s="271">
        <v>38.1753</v>
      </c>
      <c r="Y579" s="271">
        <v>38.013199999999998</v>
      </c>
      <c r="Z579" s="265">
        <f ca="1">[1]ExtEntry!$K82</f>
        <v>38.013199999999998</v>
      </c>
      <c r="AB579" s="288">
        <v>36541.440000000002</v>
      </c>
      <c r="AC579" s="288">
        <v>37914</v>
      </c>
      <c r="AD579" s="288">
        <v>37602</v>
      </c>
      <c r="AE579" s="288">
        <v>37752</v>
      </c>
      <c r="AF579" s="288">
        <v>37752</v>
      </c>
      <c r="AG579" s="288">
        <v>37416</v>
      </c>
      <c r="AH579" s="288">
        <v>39018</v>
      </c>
      <c r="AI579" s="288">
        <v>40086</v>
      </c>
      <c r="AJ579" s="288">
        <v>39840</v>
      </c>
      <c r="AK579" s="288">
        <v>39198</v>
      </c>
      <c r="AL579" s="288">
        <v>39480</v>
      </c>
      <c r="AM579" s="288">
        <v>38139.360000000001</v>
      </c>
      <c r="AN579" s="288">
        <v>39240</v>
      </c>
      <c r="AO579" s="288">
        <v>38796</v>
      </c>
      <c r="AP579" s="288">
        <v>37344</v>
      </c>
      <c r="AQ579" s="288">
        <v>38064</v>
      </c>
      <c r="AR579" s="288">
        <v>37188</v>
      </c>
      <c r="AS579" s="288">
        <v>37332</v>
      </c>
      <c r="AT579" s="288">
        <v>38160</v>
      </c>
      <c r="AU579" s="288">
        <v>37998</v>
      </c>
      <c r="AV579" s="288">
        <f ca="1">Calc!F82</f>
        <v>37998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38.898899999999998</v>
      </c>
      <c r="G580" s="271">
        <v>39.323700000000002</v>
      </c>
      <c r="H580" s="271">
        <v>39.243499999999997</v>
      </c>
      <c r="I580" s="271">
        <v>39.482999999999997</v>
      </c>
      <c r="J580" s="271">
        <v>39.482999999999997</v>
      </c>
      <c r="K580" s="271">
        <v>39.985300000000002</v>
      </c>
      <c r="L580" s="271">
        <v>40.002800000000001</v>
      </c>
      <c r="M580" s="271">
        <v>39.897599999999997</v>
      </c>
      <c r="N580" s="271">
        <v>39.838299999999997</v>
      </c>
      <c r="O580" s="271">
        <v>39.81</v>
      </c>
      <c r="P580" s="271">
        <v>39.821399999999997</v>
      </c>
      <c r="Q580" s="271">
        <v>39.568199999999997</v>
      </c>
      <c r="R580" s="271">
        <v>39.893599999999999</v>
      </c>
      <c r="S580" s="271">
        <v>40.010199999999998</v>
      </c>
      <c r="T580" s="271">
        <v>40.169400000000003</v>
      </c>
      <c r="U580" s="271">
        <v>39.5807</v>
      </c>
      <c r="V580" s="271">
        <v>39.368200000000002</v>
      </c>
      <c r="W580" s="271">
        <v>39.072800000000001</v>
      </c>
      <c r="X580" s="271">
        <v>39.762099999999997</v>
      </c>
      <c r="Y580" s="271">
        <v>39.173999999999999</v>
      </c>
      <c r="Z580" s="265">
        <f ca="1">[1]ExtEntry!$K83</f>
        <v>39.173999999999999</v>
      </c>
      <c r="AB580" s="284">
        <v>115359.99999999999</v>
      </c>
      <c r="AC580" s="284">
        <v>116620</v>
      </c>
      <c r="AD580" s="284">
        <v>116382</v>
      </c>
      <c r="AE580" s="284">
        <v>117092.31999999999</v>
      </c>
      <c r="AF580" s="284">
        <v>117092.31999999999</v>
      </c>
      <c r="AG580" s="284">
        <v>118582</v>
      </c>
      <c r="AH580" s="284">
        <v>118633.99999999999</v>
      </c>
      <c r="AI580" s="284">
        <v>118322</v>
      </c>
      <c r="AJ580" s="284">
        <v>118146</v>
      </c>
      <c r="AK580" s="284">
        <v>118061.99999999999</v>
      </c>
      <c r="AL580" s="284">
        <v>119058</v>
      </c>
      <c r="AM580" s="284">
        <v>117345</v>
      </c>
      <c r="AN580" s="284">
        <v>118309.99999999999</v>
      </c>
      <c r="AO580" s="284">
        <v>118656</v>
      </c>
      <c r="AP580" s="284">
        <v>119128</v>
      </c>
      <c r="AQ580" s="284">
        <v>117382</v>
      </c>
      <c r="AR580" s="284">
        <v>116752</v>
      </c>
      <c r="AS580" s="284">
        <v>115876</v>
      </c>
      <c r="AT580" s="284">
        <v>117920</v>
      </c>
      <c r="AU580" s="284">
        <v>116176</v>
      </c>
      <c r="AV580" s="284">
        <f ca="1">Calc!F83</f>
        <v>116176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3.9523999999999999</v>
      </c>
      <c r="G581" s="271">
        <v>4.1163999999999996</v>
      </c>
      <c r="H581" s="271">
        <v>4.4618000000000002</v>
      </c>
      <c r="I581" s="271">
        <v>4.1448</v>
      </c>
      <c r="J581" s="271">
        <v>4.1448</v>
      </c>
      <c r="K581" s="271">
        <v>3.8212999999999999</v>
      </c>
      <c r="L581" s="271">
        <v>3.4277000000000002</v>
      </c>
      <c r="M581" s="271">
        <v>3.2791000000000001</v>
      </c>
      <c r="N581" s="271">
        <v>3.3140999999999998</v>
      </c>
      <c r="O581" s="271">
        <v>3.2704</v>
      </c>
      <c r="P581" s="271">
        <v>3.3140999999999998</v>
      </c>
      <c r="Q581" s="271">
        <v>3.2791000000000001</v>
      </c>
      <c r="R581" s="271">
        <v>3.3054000000000001</v>
      </c>
      <c r="S581" s="271">
        <v>3.2353999999999998</v>
      </c>
      <c r="T581" s="271">
        <v>3.4058999999999999</v>
      </c>
      <c r="U581" s="271">
        <v>3.3797000000000001</v>
      </c>
      <c r="V581" s="271">
        <v>3.3795999999999999</v>
      </c>
      <c r="W581" s="271">
        <v>3.4802</v>
      </c>
      <c r="X581" s="271">
        <v>3.6179999999999999</v>
      </c>
      <c r="Y581" s="271">
        <v>3.6200999999999999</v>
      </c>
      <c r="Z581" s="265">
        <f ca="1">[1]ExtEntry!$K84</f>
        <v>3.6200999999999999</v>
      </c>
      <c r="AB581" s="288">
        <v>99439.999999999985</v>
      </c>
      <c r="AC581" s="288">
        <v>103564.99999999999</v>
      </c>
      <c r="AD581" s="288">
        <v>112255</v>
      </c>
      <c r="AE581" s="288">
        <v>104278.90000000001</v>
      </c>
      <c r="AF581" s="288">
        <v>104278.90000000001</v>
      </c>
      <c r="AG581" s="288">
        <v>96140</v>
      </c>
      <c r="AH581" s="288">
        <v>82720</v>
      </c>
      <c r="AI581" s="288">
        <v>82500</v>
      </c>
      <c r="AJ581" s="288">
        <v>83380</v>
      </c>
      <c r="AK581" s="288">
        <v>82280</v>
      </c>
      <c r="AL581" s="288">
        <v>82170</v>
      </c>
      <c r="AM581" s="288">
        <v>82500</v>
      </c>
      <c r="AN581" s="288">
        <v>83160</v>
      </c>
      <c r="AO581" s="288">
        <v>81400</v>
      </c>
      <c r="AP581" s="288">
        <v>85690</v>
      </c>
      <c r="AQ581" s="288">
        <v>85030</v>
      </c>
      <c r="AR581" s="288">
        <v>87560</v>
      </c>
      <c r="AS581" s="288">
        <v>87560</v>
      </c>
      <c r="AT581" s="288">
        <v>91025</v>
      </c>
      <c r="AU581" s="288">
        <v>87780</v>
      </c>
      <c r="AV581" s="288">
        <f ca="1">Calc!F84</f>
        <v>87780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17.753799999999998</v>
      </c>
      <c r="G582" s="271">
        <v>17.976099999999999</v>
      </c>
      <c r="H582" s="271">
        <v>18.123999999999999</v>
      </c>
      <c r="I582" s="271">
        <v>18.222300000000001</v>
      </c>
      <c r="J582" s="271">
        <v>18.222300000000001</v>
      </c>
      <c r="K582" s="271">
        <v>18.548200000000001</v>
      </c>
      <c r="L582" s="271">
        <v>18.228999999999999</v>
      </c>
      <c r="M582" s="271">
        <v>18.459299999999999</v>
      </c>
      <c r="N582" s="271">
        <v>18.5001</v>
      </c>
      <c r="O582" s="271">
        <v>18.424299999999999</v>
      </c>
      <c r="P582" s="271">
        <v>18.4345</v>
      </c>
      <c r="Q582" s="271">
        <v>18.3507</v>
      </c>
      <c r="R582" s="271">
        <v>18.631699999999999</v>
      </c>
      <c r="S582" s="271">
        <v>18.690999999999999</v>
      </c>
      <c r="T582" s="271">
        <v>18.718699999999998</v>
      </c>
      <c r="U582" s="271">
        <v>18.750800000000002</v>
      </c>
      <c r="V582" s="271">
        <v>18.6663</v>
      </c>
      <c r="W582" s="271">
        <v>18.447600000000001</v>
      </c>
      <c r="X582" s="271">
        <v>18.6007</v>
      </c>
      <c r="Y582" s="271">
        <v>18.092700000000001</v>
      </c>
      <c r="Z582" s="265">
        <f ca="1">[1]ExtEntry!$K85</f>
        <v>18.092700000000001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45.4574</v>
      </c>
      <c r="G583" s="271">
        <v>45.583599999999997</v>
      </c>
      <c r="H583" s="271">
        <v>45.741300000000003</v>
      </c>
      <c r="I583" s="271">
        <v>45.435899999999997</v>
      </c>
      <c r="J583" s="271">
        <v>45.435899999999997</v>
      </c>
      <c r="K583" s="271">
        <v>45.7517</v>
      </c>
      <c r="L583" s="271">
        <v>44.898899999999998</v>
      </c>
      <c r="M583" s="271">
        <v>43.825000000000003</v>
      </c>
      <c r="N583" s="271">
        <v>43.825000000000003</v>
      </c>
      <c r="O583" s="271">
        <v>43.414400000000001</v>
      </c>
      <c r="P583" s="271">
        <v>43.8566</v>
      </c>
      <c r="Q583" s="271">
        <v>43.5092</v>
      </c>
      <c r="R583" s="271">
        <v>42.703699999999998</v>
      </c>
      <c r="S583" s="271">
        <v>43.209099999999999</v>
      </c>
      <c r="T583" s="271">
        <v>43.209099999999999</v>
      </c>
      <c r="U583" s="271">
        <v>43.035400000000003</v>
      </c>
      <c r="V583" s="271">
        <v>43.177500000000002</v>
      </c>
      <c r="W583" s="271">
        <v>43.177500000000002</v>
      </c>
      <c r="X583" s="271">
        <v>43.3354</v>
      </c>
      <c r="Y583" s="271">
        <v>43.904000000000003</v>
      </c>
      <c r="Z583" s="265">
        <f ca="1">[1]ExtEntry!$K86</f>
        <v>43.904000000000003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26.058800000000002</v>
      </c>
      <c r="G584" s="271">
        <v>26.412199999999999</v>
      </c>
      <c r="H584" s="271">
        <v>25.964500000000001</v>
      </c>
      <c r="I584" s="271">
        <v>25.9145</v>
      </c>
      <c r="J584" s="271">
        <v>25.9145</v>
      </c>
      <c r="K584" s="271">
        <v>26.0853</v>
      </c>
      <c r="L584" s="271">
        <v>27.3429</v>
      </c>
      <c r="M584" s="271">
        <v>27.122</v>
      </c>
      <c r="N584" s="271">
        <v>27.628599999999999</v>
      </c>
      <c r="O584" s="271">
        <v>27.631499999999999</v>
      </c>
      <c r="P584" s="271">
        <v>27.985600000000002</v>
      </c>
      <c r="Q584" s="271">
        <v>28.1675</v>
      </c>
      <c r="R584" s="271">
        <v>27.539000000000001</v>
      </c>
      <c r="S584" s="271">
        <v>27.2728</v>
      </c>
      <c r="T584" s="271">
        <v>27.455400000000001</v>
      </c>
      <c r="U584" s="271">
        <v>26.742100000000001</v>
      </c>
      <c r="V584" s="271">
        <v>26.582999999999998</v>
      </c>
      <c r="W584" s="271">
        <v>26.4482</v>
      </c>
      <c r="X584" s="271">
        <v>27.1249</v>
      </c>
      <c r="Y584" s="271">
        <v>26.895199999999999</v>
      </c>
      <c r="Z584" s="265">
        <f ca="1">[1]ExtEntry!$K87</f>
        <v>26.895199999999999</v>
      </c>
      <c r="AB584" s="284">
        <v>176960</v>
      </c>
      <c r="AC584" s="284">
        <v>179360</v>
      </c>
      <c r="AD584" s="284">
        <v>176319.6</v>
      </c>
      <c r="AE584" s="284">
        <v>175980</v>
      </c>
      <c r="AF584" s="284">
        <v>175980</v>
      </c>
      <c r="AG584" s="284">
        <v>177140</v>
      </c>
      <c r="AH584" s="284">
        <v>185680</v>
      </c>
      <c r="AI584" s="284">
        <v>184180</v>
      </c>
      <c r="AJ584" s="284">
        <v>187620</v>
      </c>
      <c r="AK584" s="284">
        <v>187640</v>
      </c>
      <c r="AL584" s="284">
        <v>190440</v>
      </c>
      <c r="AM584" s="284">
        <v>191280</v>
      </c>
      <c r="AN584" s="284">
        <v>187012</v>
      </c>
      <c r="AO584" s="284">
        <v>185200</v>
      </c>
      <c r="AP584" s="284">
        <v>186440</v>
      </c>
      <c r="AQ584" s="284">
        <v>181600</v>
      </c>
      <c r="AR584" s="284">
        <v>180520</v>
      </c>
      <c r="AS584" s="284">
        <v>185180</v>
      </c>
      <c r="AT584" s="284">
        <v>184200</v>
      </c>
      <c r="AU584" s="284">
        <v>182640</v>
      </c>
      <c r="AV584" s="284">
        <f ca="1">Calc!F87</f>
        <v>182640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18.154399999999999</v>
      </c>
      <c r="H585" s="271">
        <v>18.227</v>
      </c>
      <c r="I585" s="271">
        <v>18.358599999999999</v>
      </c>
      <c r="J585" s="271">
        <v>18.358599999999999</v>
      </c>
      <c r="K585" s="271">
        <v>18.401</v>
      </c>
      <c r="L585" s="271">
        <v>18.223400000000002</v>
      </c>
      <c r="M585" s="271">
        <v>18.231000000000002</v>
      </c>
      <c r="N585" s="271">
        <v>18.176200000000001</v>
      </c>
      <c r="O585" s="271">
        <v>17.8354</v>
      </c>
      <c r="P585" s="271">
        <v>17.839400000000001</v>
      </c>
      <c r="Q585" s="271">
        <v>18.001000000000001</v>
      </c>
      <c r="R585" s="271">
        <v>18.110900000000001</v>
      </c>
      <c r="S585" s="271">
        <v>17.9772</v>
      </c>
      <c r="T585" s="271">
        <v>17.7959</v>
      </c>
      <c r="U585" s="271">
        <v>17.813600000000001</v>
      </c>
      <c r="V585" s="271">
        <v>17.925999999999998</v>
      </c>
      <c r="W585" s="271">
        <v>17.831800000000001</v>
      </c>
      <c r="X585" s="271">
        <v>18.013100000000001</v>
      </c>
      <c r="Y585" s="271">
        <v>17.3169</v>
      </c>
      <c r="Z585" s="265">
        <f ca="1">[1]ExtEntry!$K88</f>
        <v>17.3169</v>
      </c>
      <c r="AB585" s="288">
        <v>40080</v>
      </c>
      <c r="AC585" s="288">
        <v>40055.840000000004</v>
      </c>
      <c r="AD585" s="288">
        <v>40216</v>
      </c>
      <c r="AE585" s="288">
        <v>40506.400000000001</v>
      </c>
      <c r="AF585" s="288">
        <v>40506.400000000001</v>
      </c>
      <c r="AG585" s="288">
        <v>40600</v>
      </c>
      <c r="AH585" s="288">
        <v>40208</v>
      </c>
      <c r="AI585" s="288">
        <v>39872</v>
      </c>
      <c r="AJ585" s="288">
        <v>40104</v>
      </c>
      <c r="AK585" s="288">
        <v>39352</v>
      </c>
      <c r="AL585" s="288">
        <v>39616</v>
      </c>
      <c r="AM585" s="288">
        <v>39717.440000000002</v>
      </c>
      <c r="AN585" s="288">
        <v>39960</v>
      </c>
      <c r="AO585" s="288">
        <v>39664</v>
      </c>
      <c r="AP585" s="288">
        <v>39264</v>
      </c>
      <c r="AQ585" s="288">
        <v>39304</v>
      </c>
      <c r="AR585" s="288">
        <v>39552</v>
      </c>
      <c r="AS585" s="288">
        <v>39344</v>
      </c>
      <c r="AT585" s="288">
        <v>39744</v>
      </c>
      <c r="AU585" s="288">
        <v>38208</v>
      </c>
      <c r="AV585" s="288">
        <f ca="1">Calc!F88</f>
        <v>38208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99</v>
      </c>
      <c r="I586" s="271">
        <v>0</v>
      </c>
      <c r="J586" s="271">
        <v>0</v>
      </c>
      <c r="K586" s="271">
        <v>0</v>
      </c>
      <c r="L586" s="271">
        <v>99</v>
      </c>
      <c r="M586" s="271">
        <v>99</v>
      </c>
      <c r="N586" s="271">
        <v>0</v>
      </c>
      <c r="O586" s="271">
        <v>0</v>
      </c>
      <c r="P586" s="271">
        <v>99</v>
      </c>
      <c r="Q586" s="271">
        <v>0</v>
      </c>
      <c r="R586" s="271">
        <v>0</v>
      </c>
      <c r="S586" s="271">
        <v>0</v>
      </c>
      <c r="T586" s="271">
        <v>99</v>
      </c>
      <c r="U586" s="271">
        <v>99</v>
      </c>
      <c r="V586" s="271">
        <v>99</v>
      </c>
      <c r="W586" s="271">
        <v>99</v>
      </c>
      <c r="X586" s="271">
        <v>0</v>
      </c>
      <c r="Y586" s="271">
        <v>99</v>
      </c>
      <c r="Z586" s="265">
        <f>[1]ExtEntry!$K89</f>
        <v>99</v>
      </c>
      <c r="AB586" s="284">
        <v>102592</v>
      </c>
      <c r="AC586" s="284">
        <v>103775</v>
      </c>
      <c r="AD586" s="284">
        <v>102196.5</v>
      </c>
      <c r="AE586" s="284">
        <v>99925</v>
      </c>
      <c r="AF586" s="284">
        <v>99925</v>
      </c>
      <c r="AG586" s="284">
        <v>97825</v>
      </c>
      <c r="AH586" s="284">
        <v>108325</v>
      </c>
      <c r="AI586" s="284">
        <v>105875</v>
      </c>
      <c r="AJ586" s="284">
        <v>111125</v>
      </c>
      <c r="AK586" s="284">
        <v>108664.5</v>
      </c>
      <c r="AL586" s="284">
        <v>106050</v>
      </c>
      <c r="AM586" s="284">
        <v>105875</v>
      </c>
      <c r="AN586" s="284">
        <v>104482</v>
      </c>
      <c r="AO586" s="284">
        <v>104650.00000000001</v>
      </c>
      <c r="AP586" s="284">
        <v>108500</v>
      </c>
      <c r="AQ586" s="284">
        <v>110600</v>
      </c>
      <c r="AR586" s="284">
        <v>109724.99999999999</v>
      </c>
      <c r="AS586" s="284">
        <v>113225</v>
      </c>
      <c r="AT586" s="284">
        <v>113907.5</v>
      </c>
      <c r="AU586" s="284">
        <v>115675</v>
      </c>
      <c r="AV586" s="284">
        <f ca="1">Calc!F89</f>
        <v>115675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30.5443</v>
      </c>
      <c r="G587" s="271">
        <v>30.894100000000002</v>
      </c>
      <c r="H587" s="271">
        <v>29.665500000000002</v>
      </c>
      <c r="I587" s="271">
        <v>29.517499999999998</v>
      </c>
      <c r="J587" s="271">
        <v>29.517499999999998</v>
      </c>
      <c r="K587" s="271">
        <v>29.665500000000002</v>
      </c>
      <c r="L587" s="271">
        <v>29.952500000000001</v>
      </c>
      <c r="M587" s="271">
        <v>30.4636</v>
      </c>
      <c r="N587" s="271">
        <v>30.356000000000002</v>
      </c>
      <c r="O587" s="271">
        <v>30.607099999999999</v>
      </c>
      <c r="P587" s="271">
        <v>30.884</v>
      </c>
      <c r="Q587" s="271">
        <v>30.700600000000001</v>
      </c>
      <c r="R587" s="271">
        <v>31.1586</v>
      </c>
      <c r="S587" s="271">
        <v>30.8033</v>
      </c>
      <c r="T587" s="271">
        <v>31.3324</v>
      </c>
      <c r="U587" s="271">
        <v>30.5443</v>
      </c>
      <c r="V587" s="271">
        <v>30.759599999999999</v>
      </c>
      <c r="W587" s="271">
        <v>31.2438</v>
      </c>
      <c r="X587" s="271">
        <v>31.5487</v>
      </c>
      <c r="Y587" s="271">
        <v>31.656400000000001</v>
      </c>
      <c r="Z587" s="265">
        <f ca="1">[1]ExtEntry!$K90</f>
        <v>31.656400000000001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44.602600000000002</v>
      </c>
      <c r="G588" s="263">
        <v>44.862400000000001</v>
      </c>
      <c r="H588" s="263">
        <v>44.968699999999998</v>
      </c>
      <c r="I588" s="263">
        <v>43.834899999999998</v>
      </c>
      <c r="J588" s="263">
        <v>43.834899999999998</v>
      </c>
      <c r="K588" s="263">
        <v>43.790599999999998</v>
      </c>
      <c r="L588" s="263">
        <v>46.704900000000002</v>
      </c>
      <c r="M588" s="263">
        <v>46.518799999999999</v>
      </c>
      <c r="N588" s="263">
        <v>46.887900000000002</v>
      </c>
      <c r="O588" s="263">
        <v>47.401699999999998</v>
      </c>
      <c r="P588" s="263">
        <v>47.704000000000001</v>
      </c>
      <c r="Q588" s="263">
        <v>44.597700000000003</v>
      </c>
      <c r="R588" s="263">
        <v>44.531700000000001</v>
      </c>
      <c r="S588" s="263">
        <v>44.757199999999997</v>
      </c>
      <c r="T588" s="263">
        <v>44.733499999999999</v>
      </c>
      <c r="U588" s="263">
        <v>44.773800000000001</v>
      </c>
      <c r="V588" s="263">
        <v>44.590800000000002</v>
      </c>
      <c r="W588" s="263">
        <v>43.554400000000001</v>
      </c>
      <c r="X588" s="263">
        <v>43.837800000000001</v>
      </c>
      <c r="Y588" s="263">
        <v>43.0259</v>
      </c>
      <c r="Z588" s="265">
        <f ca="1">[1]ExtEntry!$K91</f>
        <v>43.0259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11.330399999999999</v>
      </c>
      <c r="G589" s="271">
        <v>11.2699</v>
      </c>
      <c r="H589" s="271">
        <v>11.408099999999999</v>
      </c>
      <c r="I589" s="271">
        <v>11.6686</v>
      </c>
      <c r="J589" s="271">
        <v>11.6686</v>
      </c>
      <c r="K589" s="271">
        <v>12.0296</v>
      </c>
      <c r="L589" s="271">
        <v>11.916499999999999</v>
      </c>
      <c r="M589" s="271">
        <v>11.916499999999999</v>
      </c>
      <c r="N589" s="271">
        <v>12.030200000000001</v>
      </c>
      <c r="O589" s="271">
        <v>12.053000000000001</v>
      </c>
      <c r="P589" s="271">
        <v>12.200799999999999</v>
      </c>
      <c r="Q589" s="271">
        <v>12.2219</v>
      </c>
      <c r="R589" s="271">
        <v>12.3</v>
      </c>
      <c r="S589" s="271">
        <v>12.3582</v>
      </c>
      <c r="T589" s="271">
        <v>12.729100000000001</v>
      </c>
      <c r="U589" s="271">
        <v>12.724500000000001</v>
      </c>
      <c r="V589" s="271">
        <v>12.984999999999999</v>
      </c>
      <c r="W589" s="271">
        <v>12.680199999999999</v>
      </c>
      <c r="X589" s="271">
        <v>12.7813</v>
      </c>
      <c r="Y589" s="271">
        <v>12.739000000000001</v>
      </c>
      <c r="Z589" s="265">
        <f ca="1">[1]ExtEntry!$K92</f>
        <v>12.739000000000001</v>
      </c>
      <c r="AB589" s="288">
        <v>454117.25</v>
      </c>
      <c r="AC589" s="288">
        <v>451692.49999999994</v>
      </c>
      <c r="AD589" s="288">
        <v>457231</v>
      </c>
      <c r="AE589" s="288">
        <v>467672</v>
      </c>
      <c r="AF589" s="288">
        <v>467672</v>
      </c>
      <c r="AG589" s="288">
        <v>482141</v>
      </c>
      <c r="AH589" s="288">
        <v>477609.5</v>
      </c>
      <c r="AI589" s="288">
        <v>477106</v>
      </c>
      <c r="AJ589" s="288">
        <v>482167.49999999994</v>
      </c>
      <c r="AK589" s="288">
        <v>483081.74999999994</v>
      </c>
      <c r="AL589" s="288">
        <v>488474.50000000006</v>
      </c>
      <c r="AM589" s="288">
        <v>489849.85</v>
      </c>
      <c r="AN589" s="288">
        <v>492979.5</v>
      </c>
      <c r="AO589" s="288">
        <v>495311.5</v>
      </c>
      <c r="AP589" s="288">
        <v>510178</v>
      </c>
      <c r="AQ589" s="288">
        <v>471502.5</v>
      </c>
      <c r="AR589" s="288">
        <v>432057.99999999994</v>
      </c>
      <c r="AS589" s="288">
        <v>421916</v>
      </c>
      <c r="AT589" s="288">
        <v>425282</v>
      </c>
      <c r="AU589" s="288">
        <v>423874</v>
      </c>
      <c r="AV589" s="288">
        <f ca="1">Calc!F92</f>
        <v>423874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9.3071000000000002</v>
      </c>
      <c r="G591" s="271">
        <v>13.126300000000001</v>
      </c>
      <c r="H591" s="271">
        <v>13.0145</v>
      </c>
      <c r="I591" s="271">
        <v>12.9979</v>
      </c>
      <c r="J591" s="271">
        <v>12.9979</v>
      </c>
      <c r="K591" s="271">
        <v>12.931699999999999</v>
      </c>
      <c r="L591" s="271">
        <v>12.766</v>
      </c>
      <c r="M591" s="271">
        <v>12.894399999999999</v>
      </c>
      <c r="N591" s="271">
        <v>12.894399999999999</v>
      </c>
      <c r="O591" s="271">
        <v>12.8489</v>
      </c>
      <c r="P591" s="271">
        <v>12.5093</v>
      </c>
      <c r="Q591" s="271">
        <v>12.1532</v>
      </c>
      <c r="R591" s="271">
        <v>12.0952</v>
      </c>
      <c r="S591" s="271">
        <v>12.434799999999999</v>
      </c>
      <c r="T591" s="271">
        <v>12.455500000000001</v>
      </c>
      <c r="U591" s="271">
        <v>12.567299999999999</v>
      </c>
      <c r="V591" s="271">
        <v>12.674899999999999</v>
      </c>
      <c r="W591" s="271">
        <v>12.6957</v>
      </c>
      <c r="X591" s="271">
        <v>12.666700000000001</v>
      </c>
      <c r="Y591" s="271">
        <v>12.857100000000001</v>
      </c>
      <c r="Z591" s="265">
        <f ca="1">[1]ExtEntry!$K94</f>
        <v>12.857100000000001</v>
      </c>
      <c r="AB591" s="288">
        <v>191820</v>
      </c>
      <c r="AC591" s="288">
        <v>190200</v>
      </c>
      <c r="AD591" s="288">
        <v>188580</v>
      </c>
      <c r="AE591" s="288">
        <v>188340</v>
      </c>
      <c r="AF591" s="288">
        <v>188340</v>
      </c>
      <c r="AG591" s="288">
        <v>187380</v>
      </c>
      <c r="AH591" s="288">
        <v>184980</v>
      </c>
      <c r="AI591" s="288">
        <v>186840</v>
      </c>
      <c r="AJ591" s="288">
        <v>188100</v>
      </c>
      <c r="AK591" s="288">
        <v>186180</v>
      </c>
      <c r="AL591" s="288">
        <v>181260</v>
      </c>
      <c r="AM591" s="288">
        <v>249475</v>
      </c>
      <c r="AN591" s="288">
        <v>248285</v>
      </c>
      <c r="AO591" s="288">
        <v>255255</v>
      </c>
      <c r="AP591" s="288">
        <v>255680</v>
      </c>
      <c r="AQ591" s="288">
        <v>260865</v>
      </c>
      <c r="AR591" s="288">
        <v>260185</v>
      </c>
      <c r="AS591" s="288">
        <v>260610</v>
      </c>
      <c r="AT591" s="288">
        <v>260015</v>
      </c>
      <c r="AU591" s="288">
        <v>263925</v>
      </c>
      <c r="AV591" s="288">
        <f ca="1">Calc!F94</f>
        <v>263925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737307.3</v>
      </c>
      <c r="AC592" s="284">
        <v>740476.1100000001</v>
      </c>
      <c r="AD592" s="284">
        <v>746019.6</v>
      </c>
      <c r="AE592" s="284">
        <v>744477.60000000009</v>
      </c>
      <c r="AF592" s="284">
        <v>744477.60000000009</v>
      </c>
      <c r="AG592" s="284">
        <v>738463.79999999993</v>
      </c>
      <c r="AH592" s="284">
        <v>755965.5</v>
      </c>
      <c r="AI592" s="284">
        <v>747099</v>
      </c>
      <c r="AJ592" s="284">
        <v>761054.1</v>
      </c>
      <c r="AK592" s="284">
        <v>768224.4</v>
      </c>
      <c r="AL592" s="284">
        <v>770922.9</v>
      </c>
      <c r="AM592" s="284">
        <v>755734.2</v>
      </c>
      <c r="AN592" s="284">
        <v>757661.7</v>
      </c>
      <c r="AO592" s="284">
        <v>763829.7</v>
      </c>
      <c r="AP592" s="284">
        <v>771000</v>
      </c>
      <c r="AQ592" s="284">
        <v>784261.20000000007</v>
      </c>
      <c r="AR592" s="284">
        <v>785649</v>
      </c>
      <c r="AS592" s="284">
        <v>793358.99999999988</v>
      </c>
      <c r="AT592" s="284">
        <v>801685.79999999993</v>
      </c>
      <c r="AU592" s="284">
        <v>794207.1</v>
      </c>
      <c r="AV592" s="284">
        <f ca="1">Calc!F95</f>
        <v>794207.1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45887</v>
      </c>
      <c r="G597" s="128">
        <f t="shared" si="39"/>
        <v>45888</v>
      </c>
      <c r="H597" s="128">
        <f t="shared" si="39"/>
        <v>45889</v>
      </c>
      <c r="I597" s="128">
        <f t="shared" si="39"/>
        <v>45890</v>
      </c>
      <c r="J597" s="128">
        <f t="shared" si="39"/>
        <v>45891</v>
      </c>
      <c r="K597" s="128">
        <f t="shared" si="39"/>
        <v>45894</v>
      </c>
      <c r="L597" s="128">
        <f t="shared" si="39"/>
        <v>45895</v>
      </c>
      <c r="M597" s="128">
        <f t="shared" si="39"/>
        <v>45896</v>
      </c>
      <c r="N597" s="128">
        <f t="shared" si="39"/>
        <v>45897</v>
      </c>
      <c r="O597" s="128">
        <f t="shared" si="39"/>
        <v>45898</v>
      </c>
      <c r="P597" s="128">
        <f t="shared" si="39"/>
        <v>45901</v>
      </c>
      <c r="Q597" s="128">
        <f t="shared" si="39"/>
        <v>45902</v>
      </c>
      <c r="R597" s="128">
        <f t="shared" si="39"/>
        <v>45903</v>
      </c>
      <c r="S597" s="128">
        <f t="shared" si="39"/>
        <v>45904</v>
      </c>
      <c r="T597" s="128">
        <f t="shared" si="39"/>
        <v>45905</v>
      </c>
      <c r="U597" s="128">
        <f t="shared" si="39"/>
        <v>45908</v>
      </c>
      <c r="V597" s="128">
        <f t="shared" si="39"/>
        <v>45909</v>
      </c>
      <c r="W597" s="128">
        <f t="shared" si="39"/>
        <v>45910</v>
      </c>
      <c r="X597" s="128">
        <f t="shared" si="39"/>
        <v>45911</v>
      </c>
      <c r="Y597" s="128">
        <f t="shared" si="39"/>
        <v>45912</v>
      </c>
      <c r="Z597" s="128">
        <f t="shared" ca="1" si="39"/>
        <v>45912</v>
      </c>
      <c r="AB597" s="128">
        <f t="shared" ref="AB597:AV597" si="40">F498</f>
        <v>45887</v>
      </c>
      <c r="AC597" s="128">
        <f t="shared" si="40"/>
        <v>45888</v>
      </c>
      <c r="AD597" s="128">
        <f t="shared" si="40"/>
        <v>45889</v>
      </c>
      <c r="AE597" s="128">
        <f t="shared" si="40"/>
        <v>45890</v>
      </c>
      <c r="AF597" s="128">
        <f t="shared" si="40"/>
        <v>45891</v>
      </c>
      <c r="AG597" s="128">
        <f t="shared" si="40"/>
        <v>45894</v>
      </c>
      <c r="AH597" s="128">
        <f t="shared" si="40"/>
        <v>45895</v>
      </c>
      <c r="AI597" s="128">
        <f t="shared" si="40"/>
        <v>45896</v>
      </c>
      <c r="AJ597" s="128">
        <f t="shared" si="40"/>
        <v>45897</v>
      </c>
      <c r="AK597" s="128">
        <f t="shared" si="40"/>
        <v>45898</v>
      </c>
      <c r="AL597" s="128">
        <f t="shared" si="40"/>
        <v>45901</v>
      </c>
      <c r="AM597" s="128">
        <f t="shared" si="40"/>
        <v>45902</v>
      </c>
      <c r="AN597" s="128">
        <f t="shared" si="40"/>
        <v>45903</v>
      </c>
      <c r="AO597" s="128">
        <f t="shared" si="40"/>
        <v>45904</v>
      </c>
      <c r="AP597" s="128">
        <f t="shared" si="40"/>
        <v>45905</v>
      </c>
      <c r="AQ597" s="128">
        <f t="shared" si="40"/>
        <v>45908</v>
      </c>
      <c r="AR597" s="128">
        <f t="shared" si="40"/>
        <v>45909</v>
      </c>
      <c r="AS597" s="128">
        <f t="shared" si="40"/>
        <v>45910</v>
      </c>
      <c r="AT597" s="128">
        <f t="shared" si="40"/>
        <v>45911</v>
      </c>
      <c r="AU597" s="128">
        <f t="shared" si="40"/>
        <v>45912</v>
      </c>
      <c r="AV597" s="128">
        <f t="shared" ca="1" si="40"/>
        <v>45912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-1.1499999999999999</v>
      </c>
      <c r="G599" s="265">
        <v>-1.54</v>
      </c>
      <c r="H599" s="265">
        <v>-0.57999999999999996</v>
      </c>
      <c r="I599" s="265">
        <v>-0.77</v>
      </c>
      <c r="J599" s="265">
        <v>-0.77</v>
      </c>
      <c r="K599" s="265">
        <v>-4.55</v>
      </c>
      <c r="L599" s="265">
        <v>-0.6</v>
      </c>
      <c r="M599" s="265">
        <v>2.15</v>
      </c>
      <c r="N599" s="265">
        <v>1.18</v>
      </c>
      <c r="O599" s="265">
        <v>0.90990000000000004</v>
      </c>
      <c r="P599" s="265">
        <v>-0.42</v>
      </c>
      <c r="Q599" s="265">
        <v>-4.5602</v>
      </c>
      <c r="R599" s="265">
        <v>6.4753999999999996</v>
      </c>
      <c r="S599" s="265">
        <v>8.75</v>
      </c>
      <c r="T599" s="265">
        <v>1.31</v>
      </c>
      <c r="U599" s="265">
        <v>-1.81</v>
      </c>
      <c r="V599" s="265">
        <v>-3.53</v>
      </c>
      <c r="W599" s="265">
        <v>-7.56</v>
      </c>
      <c r="X599" s="265">
        <v>3.6150000000000002</v>
      </c>
      <c r="Y599" s="265">
        <v>4.04</v>
      </c>
      <c r="Z599" s="265">
        <f ca="1">[1]ExtEntry!$L3</f>
        <v>4.04</v>
      </c>
      <c r="AB599" s="330">
        <v>0.98459496942027735</v>
      </c>
      <c r="AC599" s="330">
        <v>0.98859738799515651</v>
      </c>
      <c r="AD599" s="330">
        <v>0.98958166313146623</v>
      </c>
      <c r="AE599" s="330">
        <v>0.9934089170867374</v>
      </c>
      <c r="AF599" s="330">
        <v>0.9934089170867374</v>
      </c>
      <c r="AG599" s="330">
        <v>1.0114740940666342</v>
      </c>
      <c r="AH599" s="330">
        <v>1.0063534953336855</v>
      </c>
      <c r="AI599" s="330">
        <v>0.99691797130521997</v>
      </c>
      <c r="AJ599" s="330">
        <v>0.99181422187513557</v>
      </c>
      <c r="AK599" s="330">
        <v>0.9879142557969991</v>
      </c>
      <c r="AL599" s="330">
        <v>0.98476462479538218</v>
      </c>
      <c r="AM599" s="330">
        <v>1.004497147813646</v>
      </c>
      <c r="AN599" s="330">
        <v>0.96785652895865038</v>
      </c>
      <c r="AO599" s="330">
        <v>0.95862481653876797</v>
      </c>
      <c r="AP599" s="330">
        <v>0.95338752189507048</v>
      </c>
      <c r="AQ599" s="330">
        <v>0.99010227845972765</v>
      </c>
      <c r="AR599" s="330">
        <v>1.0050161297205036</v>
      </c>
      <c r="AS599" s="330">
        <v>1.0385181445390008</v>
      </c>
      <c r="AT599" s="330">
        <v>1.0222240402769038</v>
      </c>
      <c r="AU599" s="330">
        <v>1.0062183534840006</v>
      </c>
      <c r="AV599" s="330">
        <f ca="1">Calc!AP3</f>
        <v>1.0062183534840006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-0.42499999999999999</v>
      </c>
      <c r="G600" s="273">
        <v>-0.05</v>
      </c>
      <c r="H600" s="273">
        <v>0.01</v>
      </c>
      <c r="I600" s="273">
        <v>-0.32</v>
      </c>
      <c r="J600" s="273">
        <v>-0.32</v>
      </c>
      <c r="K600" s="273">
        <v>-0.28999999999999998</v>
      </c>
      <c r="L600" s="273">
        <v>0.06</v>
      </c>
      <c r="M600" s="273">
        <v>-0.17</v>
      </c>
      <c r="N600" s="273">
        <v>0.2</v>
      </c>
      <c r="O600" s="273">
        <v>-0.11</v>
      </c>
      <c r="P600" s="273">
        <v>-0.44</v>
      </c>
      <c r="Q600" s="273">
        <v>-0.21</v>
      </c>
      <c r="R600" s="273">
        <v>0.05</v>
      </c>
      <c r="S600" s="273">
        <v>0.36</v>
      </c>
      <c r="T600" s="273">
        <v>0.15</v>
      </c>
      <c r="U600" s="273">
        <v>-0.06</v>
      </c>
      <c r="V600" s="273">
        <v>-0.02</v>
      </c>
      <c r="W600" s="273">
        <v>-0.24</v>
      </c>
      <c r="X600" s="273">
        <v>0.54</v>
      </c>
      <c r="Y600" s="273">
        <v>-0.01</v>
      </c>
      <c r="Z600" s="273">
        <f ca="1">[1]ExtEntry!$L4</f>
        <v>-0.01</v>
      </c>
      <c r="AB600" s="330">
        <v>1.1715667455221359</v>
      </c>
      <c r="AC600" s="330">
        <v>1.1640920080591</v>
      </c>
      <c r="AD600" s="330">
        <v>1.1563262174783189</v>
      </c>
      <c r="AE600" s="330">
        <v>1.1727557510148849</v>
      </c>
      <c r="AF600" s="330">
        <v>1.1727557510148849</v>
      </c>
      <c r="AG600" s="330">
        <v>1.1937555096418733</v>
      </c>
      <c r="AH600" s="330">
        <v>1.1125372272143774</v>
      </c>
      <c r="AI600" s="330">
        <v>1.1284720052083335</v>
      </c>
      <c r="AJ600" s="330">
        <v>1.1139672236503855</v>
      </c>
      <c r="AK600" s="330">
        <v>1.1218983818770227</v>
      </c>
      <c r="AL600" s="330">
        <v>1.1524820478723405</v>
      </c>
      <c r="AM600" s="330">
        <v>1.1688017532029669</v>
      </c>
      <c r="AN600" s="330">
        <v>1.1594200668896322</v>
      </c>
      <c r="AO600" s="330">
        <v>1.1358669724770643</v>
      </c>
      <c r="AP600" s="330">
        <v>1.1248105126541208</v>
      </c>
      <c r="AQ600" s="330">
        <v>1.3446109303838647</v>
      </c>
      <c r="AR600" s="330">
        <v>1.3463628664495115</v>
      </c>
      <c r="AS600" s="330">
        <v>1.367747849106552</v>
      </c>
      <c r="AT600" s="330">
        <v>1.3205539936102235</v>
      </c>
      <c r="AU600" s="330">
        <v>1.3205539936102235</v>
      </c>
      <c r="AV600" s="330">
        <f ca="1">Calc!AP4</f>
        <v>1.3205539936102235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-1.4</v>
      </c>
      <c r="G601" s="265">
        <v>-0.83</v>
      </c>
      <c r="H601" s="265">
        <v>1.1000000000000001</v>
      </c>
      <c r="I601" s="265">
        <v>-0.3</v>
      </c>
      <c r="J601" s="265">
        <v>-0.3</v>
      </c>
      <c r="K601" s="265">
        <v>-0.7</v>
      </c>
      <c r="L601" s="265">
        <v>0.5</v>
      </c>
      <c r="M601" s="265">
        <v>0.3</v>
      </c>
      <c r="N601" s="265">
        <v>-0.6</v>
      </c>
      <c r="O601" s="265">
        <v>7.2599999999999998E-2</v>
      </c>
      <c r="P601" s="265">
        <v>1.9044000000000001</v>
      </c>
      <c r="Q601" s="265">
        <v>0.8</v>
      </c>
      <c r="R601" s="265">
        <v>-0.2</v>
      </c>
      <c r="S601" s="265">
        <v>-0.8</v>
      </c>
      <c r="T601" s="265">
        <v>-0.4</v>
      </c>
      <c r="U601" s="265">
        <v>0.6</v>
      </c>
      <c r="V601" s="265">
        <v>-0.4</v>
      </c>
      <c r="W601" s="265">
        <v>-3</v>
      </c>
      <c r="X601" s="265">
        <v>-0.4</v>
      </c>
      <c r="Y601" s="265">
        <v>0.2</v>
      </c>
      <c r="Z601" s="265">
        <f ca="1">[1]ExtEntry!$L5</f>
        <v>0.2</v>
      </c>
      <c r="AB601" s="330">
        <v>2.0311965811965815</v>
      </c>
      <c r="AC601" s="330">
        <v>2.0678703502284099</v>
      </c>
      <c r="AD601" s="330">
        <v>2.0575757575757576</v>
      </c>
      <c r="AE601" s="330">
        <v>2.0443010752688173</v>
      </c>
      <c r="AF601" s="330">
        <v>2.0443010752688173</v>
      </c>
      <c r="AG601" s="330">
        <v>2.0755458515283847</v>
      </c>
      <c r="AH601" s="330">
        <v>1.9519507186858316</v>
      </c>
      <c r="AI601" s="330">
        <v>1.94</v>
      </c>
      <c r="AJ601" s="330">
        <v>1.9640495867768597</v>
      </c>
      <c r="AK601" s="330">
        <v>1.9611079248895253</v>
      </c>
      <c r="AL601" s="330">
        <v>1.860113806247603</v>
      </c>
      <c r="AM601" s="330">
        <v>1.8280769230769232</v>
      </c>
      <c r="AN601" s="330">
        <v>1.8494163424124515</v>
      </c>
      <c r="AO601" s="330">
        <v>1.8786561264822135</v>
      </c>
      <c r="AP601" s="330">
        <v>1.7603703703703704</v>
      </c>
      <c r="AQ601" s="330">
        <v>1.7283636363636363</v>
      </c>
      <c r="AR601" s="330">
        <v>1.7410256410256411</v>
      </c>
      <c r="AS601" s="330">
        <v>1.842248062015504</v>
      </c>
      <c r="AT601" s="330">
        <v>1.856640625</v>
      </c>
      <c r="AU601" s="330">
        <v>1.8494163424124515</v>
      </c>
      <c r="AV601" s="330">
        <f ca="1">Calc!AP5</f>
        <v>1.8494163424124515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6.3932000000000002</v>
      </c>
      <c r="G602" s="273">
        <v>0.6</v>
      </c>
      <c r="H602" s="273">
        <v>-0.83</v>
      </c>
      <c r="I602" s="273">
        <v>-3.99</v>
      </c>
      <c r="J602" s="273">
        <v>-3.99</v>
      </c>
      <c r="K602" s="273">
        <v>-4.2</v>
      </c>
      <c r="L602" s="273">
        <v>-0.9</v>
      </c>
      <c r="M602" s="273">
        <v>0.77</v>
      </c>
      <c r="N602" s="273">
        <v>0.41</v>
      </c>
      <c r="O602" s="273">
        <v>3.4270999999999998</v>
      </c>
      <c r="P602" s="273">
        <v>-2.6</v>
      </c>
      <c r="Q602" s="273">
        <v>-6.6271000000000004</v>
      </c>
      <c r="R602" s="273">
        <v>0.64</v>
      </c>
      <c r="S602" s="273">
        <v>0.65</v>
      </c>
      <c r="T602" s="273">
        <v>9.69</v>
      </c>
      <c r="U602" s="273">
        <v>3.51</v>
      </c>
      <c r="V602" s="273">
        <v>2.4</v>
      </c>
      <c r="W602" s="273">
        <v>-7.91</v>
      </c>
      <c r="X602" s="273">
        <v>-0.185</v>
      </c>
      <c r="Y602" s="273">
        <v>-1.8</v>
      </c>
      <c r="Z602" s="273">
        <f ca="1">[1]ExtEntry!$L6</f>
        <v>-1.8</v>
      </c>
      <c r="AB602" s="330">
        <v>1.047045981610127</v>
      </c>
      <c r="AC602" s="330">
        <v>1.0442120217635373</v>
      </c>
      <c r="AD602" s="330">
        <v>1.0504718505647264</v>
      </c>
      <c r="AE602" s="330">
        <v>1.062938989010989</v>
      </c>
      <c r="AF602" s="330">
        <v>1.062938989010989</v>
      </c>
      <c r="AG602" s="330">
        <v>1.0804638756087754</v>
      </c>
      <c r="AH602" s="330">
        <v>1.0608871632885848</v>
      </c>
      <c r="AI602" s="330">
        <v>1.0573154649993441</v>
      </c>
      <c r="AJ602" s="330">
        <v>1.0554234462290504</v>
      </c>
      <c r="AK602" s="330">
        <v>1.0398694286017758</v>
      </c>
      <c r="AL602" s="330">
        <v>1.0559765065502185</v>
      </c>
      <c r="AM602" s="330">
        <v>1.0874464469366547</v>
      </c>
      <c r="AN602" s="330">
        <v>1.0700885919107888</v>
      </c>
      <c r="AO602" s="330">
        <v>1.0700412407628657</v>
      </c>
      <c r="AP602" s="330">
        <v>1.0260464188730483</v>
      </c>
      <c r="AQ602" s="330">
        <v>1.1159274508141113</v>
      </c>
      <c r="AR602" s="330">
        <v>1.1046857370718604</v>
      </c>
      <c r="AS602" s="330">
        <v>1.142622888898537</v>
      </c>
      <c r="AT602" s="330">
        <v>1.1435413760889874</v>
      </c>
      <c r="AU602" s="330">
        <v>1.153540784571554</v>
      </c>
      <c r="AV602" s="330">
        <f ca="1">Calc!AP6</f>
        <v>1.153540784571554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0</v>
      </c>
      <c r="G603" s="265">
        <v>-0.02</v>
      </c>
      <c r="H603" s="265">
        <v>0</v>
      </c>
      <c r="I603" s="265">
        <v>-1.2E-2</v>
      </c>
      <c r="J603" s="265">
        <v>-1.2E-2</v>
      </c>
      <c r="K603" s="265">
        <v>-8.0000000000000002E-3</v>
      </c>
      <c r="L603" s="265">
        <v>-2.1999999999999999E-2</v>
      </c>
      <c r="M603" s="265">
        <v>-8.0000000000000002E-3</v>
      </c>
      <c r="N603" s="265">
        <v>8.0000000000000002E-3</v>
      </c>
      <c r="O603" s="265">
        <v>0</v>
      </c>
      <c r="P603" s="265">
        <v>-2.5999999999999999E-2</v>
      </c>
      <c r="Q603" s="265">
        <v>-0.01</v>
      </c>
      <c r="R603" s="265">
        <v>2.8000000000000001E-2</v>
      </c>
      <c r="S603" s="265">
        <v>-2.8000000000000001E-2</v>
      </c>
      <c r="T603" s="265">
        <v>0.02</v>
      </c>
      <c r="U603" s="265">
        <v>-0.02</v>
      </c>
      <c r="V603" s="265">
        <v>1.2E-2</v>
      </c>
      <c r="W603" s="265">
        <v>6.0000000000000001E-3</v>
      </c>
      <c r="X603" s="265">
        <v>-0.02</v>
      </c>
      <c r="Y603" s="265">
        <v>2E-3</v>
      </c>
      <c r="Z603" s="265">
        <f ca="1">[1]ExtEntry!$L7</f>
        <v>2E-3</v>
      </c>
      <c r="AB603" s="330">
        <v>1.5972187500000001</v>
      </c>
      <c r="AC603" s="330">
        <v>1.6312021276595747</v>
      </c>
      <c r="AD603" s="330">
        <v>1.5972187500000001</v>
      </c>
      <c r="AE603" s="330">
        <v>1.6174367088607597</v>
      </c>
      <c r="AF603" s="330">
        <v>1.6174367088607597</v>
      </c>
      <c r="AG603" s="330">
        <v>1.6312021276595747</v>
      </c>
      <c r="AH603" s="330">
        <v>1.6702941176470589</v>
      </c>
      <c r="AI603" s="330">
        <v>1.6849780219780219</v>
      </c>
      <c r="AJ603" s="330">
        <v>1.6702941176470589</v>
      </c>
      <c r="AK603" s="330">
        <v>1.6702941176470589</v>
      </c>
      <c r="AL603" s="330">
        <v>1.6812828947368421</v>
      </c>
      <c r="AM603" s="330">
        <v>1.7037</v>
      </c>
      <c r="AN603" s="330">
        <v>1.6522952586206896</v>
      </c>
      <c r="AO603" s="330">
        <v>1.7037</v>
      </c>
      <c r="AP603" s="330">
        <v>1.7189798206278029</v>
      </c>
      <c r="AQ603" s="330">
        <v>1.7228426966292136</v>
      </c>
      <c r="AR603" s="330">
        <v>1.6999223946784923</v>
      </c>
      <c r="AS603" s="330">
        <v>1.6886894273127753</v>
      </c>
      <c r="AT603" s="330">
        <v>1.7267229729729729</v>
      </c>
      <c r="AU603" s="330">
        <v>1.7228426966292136</v>
      </c>
      <c r="AV603" s="330">
        <f ca="1">Calc!AP7</f>
        <v>1.7228426966292136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2.2999999999999998</v>
      </c>
      <c r="G604" s="273">
        <v>-6</v>
      </c>
      <c r="H604" s="273">
        <v>-1.1000000000000001</v>
      </c>
      <c r="I604" s="273">
        <v>3.6</v>
      </c>
      <c r="J604" s="273">
        <v>3.6</v>
      </c>
      <c r="K604" s="273">
        <v>-4.0999999999999996</v>
      </c>
      <c r="L604" s="273">
        <v>0.5</v>
      </c>
      <c r="M604" s="273">
        <v>3.9</v>
      </c>
      <c r="N604" s="273">
        <v>9.6</v>
      </c>
      <c r="O604" s="273">
        <v>-5.7</v>
      </c>
      <c r="P604" s="273">
        <v>-0.8</v>
      </c>
      <c r="Q604" s="273">
        <v>-19.100000000000001</v>
      </c>
      <c r="R604" s="273">
        <v>12.9</v>
      </c>
      <c r="S604" s="273">
        <v>8.1</v>
      </c>
      <c r="T604" s="273">
        <v>14.9</v>
      </c>
      <c r="U604" s="273">
        <v>16.399999999999999</v>
      </c>
      <c r="V604" s="273">
        <v>6.6</v>
      </c>
      <c r="W604" s="273">
        <v>-3</v>
      </c>
      <c r="X604" s="273">
        <v>5.8</v>
      </c>
      <c r="Y604" s="273">
        <v>3.8</v>
      </c>
      <c r="Z604" s="273">
        <f ca="1">[1]ExtEntry!$L8</f>
        <v>3.8</v>
      </c>
      <c r="AB604" s="330">
        <v>1.1934690465080107</v>
      </c>
      <c r="AC604" s="330">
        <v>1.2047122782226409</v>
      </c>
      <c r="AD604" s="330">
        <v>1.2071762901195719</v>
      </c>
      <c r="AE604" s="330">
        <v>1.1945839171726609</v>
      </c>
      <c r="AF604" s="330">
        <v>1.1945839171726609</v>
      </c>
      <c r="AG604" s="330">
        <v>1.2022583046067064</v>
      </c>
      <c r="AH604" s="330">
        <v>1.1864562393691045</v>
      </c>
      <c r="AI604" s="330">
        <v>1.179344067015063</v>
      </c>
      <c r="AJ604" s="330">
        <v>1.1621951681308693</v>
      </c>
      <c r="AK604" s="330">
        <v>1.1723166539343011</v>
      </c>
      <c r="AL604" s="330">
        <v>1.2067965555206039</v>
      </c>
      <c r="AM604" s="330">
        <v>1.2435676661264181</v>
      </c>
      <c r="AN604" s="330">
        <v>1.217713458181241</v>
      </c>
      <c r="AO604" s="330">
        <v>1.2113691979791601</v>
      </c>
      <c r="AP604" s="330">
        <v>1.1581603773584905</v>
      </c>
      <c r="AQ604" s="330">
        <v>1.1203074194501921</v>
      </c>
      <c r="AR604" s="330">
        <v>1.1094847775175642</v>
      </c>
      <c r="AS604" s="330">
        <v>1.1143781240811526</v>
      </c>
      <c r="AT604" s="330">
        <v>1.1049562682215743</v>
      </c>
      <c r="AU604" s="330">
        <v>1.0988692374601334</v>
      </c>
      <c r="AV604" s="330">
        <f ca="1">Calc!AP8</f>
        <v>1.0988692374601334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0.28000000000000003</v>
      </c>
      <c r="G605" s="273">
        <v>0.19500000000000001</v>
      </c>
      <c r="H605" s="273">
        <v>0.31630000000000003</v>
      </c>
      <c r="I605" s="273">
        <v>0.45</v>
      </c>
      <c r="J605" s="273">
        <v>0.45</v>
      </c>
      <c r="K605" s="273">
        <v>0.98</v>
      </c>
      <c r="L605" s="273">
        <v>-1.31</v>
      </c>
      <c r="M605" s="273">
        <v>0.39</v>
      </c>
      <c r="N605" s="273">
        <v>-0.12</v>
      </c>
      <c r="O605" s="273">
        <v>-0.27</v>
      </c>
      <c r="P605" s="273">
        <v>-0.09</v>
      </c>
      <c r="Q605" s="273">
        <v>-0.36</v>
      </c>
      <c r="R605" s="273">
        <v>1.43</v>
      </c>
      <c r="S605" s="273">
        <v>1.92</v>
      </c>
      <c r="T605" s="273">
        <v>-0.33</v>
      </c>
      <c r="U605" s="273">
        <v>-0.14000000000000001</v>
      </c>
      <c r="V605" s="273">
        <v>-0.34</v>
      </c>
      <c r="W605" s="273">
        <v>-0.41</v>
      </c>
      <c r="X605" s="273">
        <v>0.35499999999999998</v>
      </c>
      <c r="Y605" s="273">
        <v>-1.54</v>
      </c>
      <c r="Z605" s="273">
        <f ca="1">[1]ExtEntry!$L9</f>
        <v>-1.54</v>
      </c>
      <c r="AB605" s="330">
        <v>1.0762273075939659</v>
      </c>
      <c r="AC605" s="330">
        <v>1.0701391978643615</v>
      </c>
      <c r="AD605" s="330">
        <v>1.0590818795188606</v>
      </c>
      <c r="AE605" s="330">
        <v>1.0579678270705042</v>
      </c>
      <c r="AF605" s="330">
        <v>1.0579678270705042</v>
      </c>
      <c r="AG605" s="330">
        <v>1.0454855936413314</v>
      </c>
      <c r="AH605" s="330">
        <v>1.0567725332663822</v>
      </c>
      <c r="AI605" s="330">
        <v>1.0516239850093692</v>
      </c>
      <c r="AJ605" s="330">
        <v>1.0532028024521456</v>
      </c>
      <c r="AK605" s="330">
        <v>1.0567725332663822</v>
      </c>
      <c r="AL605" s="330">
        <v>1.0535982478097621</v>
      </c>
      <c r="AM605" s="330">
        <v>1.0583668594417903</v>
      </c>
      <c r="AN605" s="330">
        <v>1.0313954913011516</v>
      </c>
      <c r="AO605" s="330">
        <v>1.0252405309950068</v>
      </c>
      <c r="AP605" s="330">
        <v>1.0293775984348252</v>
      </c>
      <c r="AQ605" s="330">
        <v>1.0700098087297694</v>
      </c>
      <c r="AR605" s="330">
        <v>1.0744890421078552</v>
      </c>
      <c r="AS605" s="330">
        <v>1.0799406014107165</v>
      </c>
      <c r="AT605" s="330">
        <v>1.0752171502494916</v>
      </c>
      <c r="AU605" s="330">
        <v>1.0969079939668174</v>
      </c>
      <c r="AV605" s="330">
        <f ca="1">Calc!AP9</f>
        <v>1.0969079939668174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-8.5000000000000006E-2</v>
      </c>
      <c r="G606" s="273">
        <v>4.9299999999999997E-2</v>
      </c>
      <c r="H606" s="273">
        <v>-0.03</v>
      </c>
      <c r="I606" s="273">
        <v>-4.4999999999999998E-2</v>
      </c>
      <c r="J606" s="273">
        <v>-4.4999999999999998E-2</v>
      </c>
      <c r="K606" s="273">
        <v>-0.04</v>
      </c>
      <c r="L606" s="273">
        <v>0</v>
      </c>
      <c r="M606" s="273">
        <v>0.05</v>
      </c>
      <c r="N606" s="273">
        <v>-0.04</v>
      </c>
      <c r="O606" s="273">
        <v>2.87E-2</v>
      </c>
      <c r="P606" s="273">
        <v>-0.01</v>
      </c>
      <c r="Q606" s="273">
        <v>-0.14000000000000001</v>
      </c>
      <c r="R606" s="273">
        <v>3.9899999999999998E-2</v>
      </c>
      <c r="S606" s="273">
        <v>0.03</v>
      </c>
      <c r="T606" s="273">
        <v>-0.04</v>
      </c>
      <c r="U606" s="273">
        <v>-0.05</v>
      </c>
      <c r="V606" s="273">
        <v>-0.05</v>
      </c>
      <c r="W606" s="273">
        <v>0.04</v>
      </c>
      <c r="X606" s="273">
        <v>0.105</v>
      </c>
      <c r="Y606" s="273">
        <v>0.02</v>
      </c>
      <c r="Z606" s="273">
        <f ca="1">[1]ExtEntry!$L10</f>
        <v>0.02</v>
      </c>
      <c r="AB606" s="330">
        <v>1.4169019607843139</v>
      </c>
      <c r="AC606" s="330">
        <v>1.3458042888309478</v>
      </c>
      <c r="AD606" s="330">
        <v>1.2838426395939087</v>
      </c>
      <c r="AE606" s="330">
        <v>1.3003444730077121</v>
      </c>
      <c r="AF606" s="330">
        <v>1.3003444730077121</v>
      </c>
      <c r="AG606" s="330">
        <v>1.331142105263158</v>
      </c>
      <c r="AH606" s="330">
        <v>1.2582935323383087</v>
      </c>
      <c r="AI606" s="330">
        <v>1.227752427184466</v>
      </c>
      <c r="AJ606" s="330">
        <v>1.2520643564356437</v>
      </c>
      <c r="AK606" s="330">
        <v>1.2345243325035389</v>
      </c>
      <c r="AL606" s="330">
        <v>1.2520643564356437</v>
      </c>
      <c r="AM606" s="330">
        <v>1.3453031914893618</v>
      </c>
      <c r="AN606" s="330">
        <v>1.3312121690615297</v>
      </c>
      <c r="AO606" s="330">
        <v>1.3381851851851854</v>
      </c>
      <c r="AP606" s="330">
        <v>1.367118918918919</v>
      </c>
      <c r="AQ606" s="330">
        <v>1.1937268041237115</v>
      </c>
      <c r="AR606" s="330">
        <v>1.2253068783068783</v>
      </c>
      <c r="AS606" s="330">
        <v>1.1999119170984456</v>
      </c>
      <c r="AT606" s="330">
        <v>1.1379999999999999</v>
      </c>
      <c r="AU606" s="330">
        <v>1.1187584541062803</v>
      </c>
      <c r="AV606" s="330">
        <f ca="1">Calc!AP10</f>
        <v>1.1187584541062803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0.59</v>
      </c>
      <c r="G607" s="273">
        <v>-0.38</v>
      </c>
      <c r="H607" s="273">
        <v>-0.03</v>
      </c>
      <c r="I607" s="273">
        <v>-0.01</v>
      </c>
      <c r="J607" s="273">
        <v>-0.01</v>
      </c>
      <c r="K607" s="273">
        <v>0.24</v>
      </c>
      <c r="L607" s="273">
        <v>-0.04</v>
      </c>
      <c r="M607" s="273">
        <v>-0.14000000000000001</v>
      </c>
      <c r="N607" s="273">
        <v>-0.14000000000000001</v>
      </c>
      <c r="O607" s="273">
        <v>0.09</v>
      </c>
      <c r="P607" s="273">
        <v>-0.03</v>
      </c>
      <c r="Q607" s="273">
        <v>-0.08</v>
      </c>
      <c r="R607" s="273">
        <v>-0.12</v>
      </c>
      <c r="S607" s="273">
        <v>-0.15</v>
      </c>
      <c r="T607" s="273">
        <v>-0.03</v>
      </c>
      <c r="U607" s="273">
        <v>0.16</v>
      </c>
      <c r="V607" s="273">
        <v>0</v>
      </c>
      <c r="W607" s="273">
        <v>0.02</v>
      </c>
      <c r="X607" s="273">
        <v>0.04</v>
      </c>
      <c r="Y607" s="273">
        <v>0.03</v>
      </c>
      <c r="Z607" s="273">
        <f ca="1">[1]ExtEntry!$L11</f>
        <v>0.03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-0.20499999999999999</v>
      </c>
      <c r="G608" s="273">
        <v>-1.29</v>
      </c>
      <c r="H608" s="273">
        <v>0.22</v>
      </c>
      <c r="I608" s="273">
        <v>-0.72499999999999998</v>
      </c>
      <c r="J608" s="273">
        <v>-0.72499999999999998</v>
      </c>
      <c r="K608" s="273">
        <v>-0.60499999999999998</v>
      </c>
      <c r="L608" s="273">
        <v>-0.3</v>
      </c>
      <c r="M608" s="273">
        <v>0.73</v>
      </c>
      <c r="N608" s="273">
        <v>1.18</v>
      </c>
      <c r="O608" s="273">
        <v>0.12</v>
      </c>
      <c r="P608" s="273">
        <v>-0.25</v>
      </c>
      <c r="Q608" s="273">
        <v>-2.915</v>
      </c>
      <c r="R608" s="273">
        <v>-0.06</v>
      </c>
      <c r="S608" s="273">
        <v>0.25</v>
      </c>
      <c r="T608" s="273">
        <v>2.0499999999999998</v>
      </c>
      <c r="U608" s="273">
        <v>0.51</v>
      </c>
      <c r="V608" s="273">
        <v>1.45</v>
      </c>
      <c r="W608" s="273">
        <v>-0.155</v>
      </c>
      <c r="X608" s="273">
        <v>1.605</v>
      </c>
      <c r="Y608" s="273">
        <v>0.66</v>
      </c>
      <c r="Z608" s="273">
        <f ca="1">[1]ExtEntry!$L12</f>
        <v>0.66</v>
      </c>
      <c r="AB608" s="330">
        <v>1.0529938059187889</v>
      </c>
      <c r="AC608" s="330">
        <v>1.0560688117234789</v>
      </c>
      <c r="AD608" s="330">
        <v>1.0589926525396658</v>
      </c>
      <c r="AE608" s="330">
        <v>1.0636932456281085</v>
      </c>
      <c r="AF608" s="330">
        <v>1.0636932456281085</v>
      </c>
      <c r="AG608" s="330">
        <v>1.0678047994846191</v>
      </c>
      <c r="AH608" s="330">
        <v>1.0472830665543387</v>
      </c>
      <c r="AI608" s="330">
        <v>1.0388592917580695</v>
      </c>
      <c r="AJ608" s="330">
        <v>1.0263157894736841</v>
      </c>
      <c r="AK608" s="330">
        <v>1.0253634395298485</v>
      </c>
      <c r="AL608" s="330">
        <v>1.0298229263746506</v>
      </c>
      <c r="AM608" s="330">
        <v>1.0618760343815066</v>
      </c>
      <c r="AN608" s="330">
        <v>1.0499366554054055</v>
      </c>
      <c r="AO608" s="330">
        <v>1.0465116279069768</v>
      </c>
      <c r="AP608" s="330">
        <v>1.0244128553770087</v>
      </c>
      <c r="AQ608" s="330">
        <v>1.0369096027525806</v>
      </c>
      <c r="AR608" s="330">
        <v>1.0218865598027127</v>
      </c>
      <c r="AS608" s="330">
        <v>1.0233060657508875</v>
      </c>
      <c r="AT608" s="330">
        <v>1.0068337129840546</v>
      </c>
      <c r="AU608" s="330">
        <v>0.99969843184559715</v>
      </c>
      <c r="AV608" s="330">
        <f ca="1">Calc!AP12</f>
        <v>0.99969843184559715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-0.95499999999999996</v>
      </c>
      <c r="G609" s="273">
        <v>-2.2490000000000001</v>
      </c>
      <c r="H609" s="273">
        <v>0.26</v>
      </c>
      <c r="I609" s="273">
        <v>-7.22E-2</v>
      </c>
      <c r="J609" s="273">
        <v>-7.22E-2</v>
      </c>
      <c r="K609" s="273">
        <v>0.35</v>
      </c>
      <c r="L609" s="273">
        <v>-0.18</v>
      </c>
      <c r="M609" s="273">
        <v>1.25</v>
      </c>
      <c r="N609" s="273">
        <v>0.05</v>
      </c>
      <c r="O609" s="273">
        <v>0.33500000000000002</v>
      </c>
      <c r="P609" s="273">
        <v>-0.34</v>
      </c>
      <c r="Q609" s="273">
        <v>-1.24</v>
      </c>
      <c r="R609" s="273">
        <v>-0.20499999999999999</v>
      </c>
      <c r="S609" s="273">
        <v>-0.13</v>
      </c>
      <c r="T609" s="273">
        <v>0.32</v>
      </c>
      <c r="U609" s="273">
        <v>-0.02</v>
      </c>
      <c r="V609" s="273">
        <v>0.46</v>
      </c>
      <c r="W609" s="273">
        <v>0.79100000000000004</v>
      </c>
      <c r="X609" s="273">
        <v>-0.35499999999999998</v>
      </c>
      <c r="Y609" s="273">
        <v>-1.1599999999999999</v>
      </c>
      <c r="Z609" s="273">
        <f ca="1">[1]ExtEntry!$L13</f>
        <v>-1.1599999999999999</v>
      </c>
      <c r="AB609" s="330">
        <v>1.0106340269277847</v>
      </c>
      <c r="AC609" s="330">
        <v>1.04671787147097</v>
      </c>
      <c r="AD609" s="330">
        <v>1.0560258802287092</v>
      </c>
      <c r="AE609" s="330">
        <v>1.0494286594355677</v>
      </c>
      <c r="AF609" s="330">
        <v>1.0494286594355677</v>
      </c>
      <c r="AG609" s="330">
        <v>1.0457976456563851</v>
      </c>
      <c r="AH609" s="330">
        <v>1.0453303544831696</v>
      </c>
      <c r="AI609" s="330">
        <v>1.0262243017985087</v>
      </c>
      <c r="AJ609" s="330">
        <v>1.0254745762711865</v>
      </c>
      <c r="AK609" s="330">
        <v>1.0204795347146491</v>
      </c>
      <c r="AL609" s="330">
        <v>1.0158268924591114</v>
      </c>
      <c r="AM609" s="330">
        <v>1.0343917464996317</v>
      </c>
      <c r="AN609" s="330">
        <v>1.0382939566535987</v>
      </c>
      <c r="AO609" s="330">
        <v>1.0371431949165066</v>
      </c>
      <c r="AP609" s="330">
        <v>1.032261803206354</v>
      </c>
      <c r="AQ609" s="330">
        <v>1.1335938995215313</v>
      </c>
      <c r="AR609" s="330">
        <v>1.1258503118503118</v>
      </c>
      <c r="AS609" s="330">
        <v>1.1127792047672866</v>
      </c>
      <c r="AT609" s="330">
        <v>1.1186242714865364</v>
      </c>
      <c r="AU609" s="330">
        <v>1.1395574928603638</v>
      </c>
      <c r="AV609" s="330">
        <f ca="1">Calc!AP13</f>
        <v>1.1395574928603638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0.54</v>
      </c>
      <c r="G610" s="273">
        <v>1.87</v>
      </c>
      <c r="H610" s="273">
        <v>2.16</v>
      </c>
      <c r="I610" s="273">
        <v>0.64</v>
      </c>
      <c r="J610" s="273">
        <v>0.64</v>
      </c>
      <c r="K610" s="273">
        <v>-0.15</v>
      </c>
      <c r="L610" s="273">
        <v>-9.5000000000000001E-2</v>
      </c>
      <c r="M610" s="273">
        <v>0.34</v>
      </c>
      <c r="N610" s="273">
        <v>0.36</v>
      </c>
      <c r="O610" s="273">
        <v>-0.28000000000000003</v>
      </c>
      <c r="P610" s="273">
        <v>1.01</v>
      </c>
      <c r="Q610" s="273">
        <v>0.94</v>
      </c>
      <c r="R610" s="273">
        <v>-0.66</v>
      </c>
      <c r="S610" s="273">
        <v>-0.77</v>
      </c>
      <c r="T610" s="273">
        <v>0.37</v>
      </c>
      <c r="U610" s="273">
        <v>-3.52</v>
      </c>
      <c r="V610" s="273">
        <v>1.48</v>
      </c>
      <c r="W610" s="273">
        <v>2.23</v>
      </c>
      <c r="X610" s="273">
        <v>0.70499999999999996</v>
      </c>
      <c r="Y610" s="273">
        <v>0.32</v>
      </c>
      <c r="Z610" s="273">
        <f ca="1">[1]ExtEntry!$L14</f>
        <v>0.32</v>
      </c>
      <c r="AB610" s="330">
        <v>1.2000180614087901</v>
      </c>
      <c r="AC610" s="330">
        <v>1.1622332361516037</v>
      </c>
      <c r="AD610" s="330">
        <v>1.1267552289429057</v>
      </c>
      <c r="AE610" s="330">
        <v>1.1259596102245446</v>
      </c>
      <c r="AF610" s="330">
        <v>1.1259596102245446</v>
      </c>
      <c r="AG610" s="330">
        <v>1.1258006212934202</v>
      </c>
      <c r="AH610" s="330">
        <v>1.1197135032652203</v>
      </c>
      <c r="AI610" s="330">
        <v>1.1143144654088051</v>
      </c>
      <c r="AJ610" s="330">
        <v>1.108735919899875</v>
      </c>
      <c r="AK610" s="330">
        <v>1.1127592463363574</v>
      </c>
      <c r="AL610" s="330">
        <v>1.0899412166780589</v>
      </c>
      <c r="AM610" s="330">
        <v>1.0761128357403158</v>
      </c>
      <c r="AN610" s="330">
        <v>1.08578510145717</v>
      </c>
      <c r="AO610" s="330">
        <v>1.0874140752864159</v>
      </c>
      <c r="AP610" s="330">
        <v>1.0819541321753292</v>
      </c>
      <c r="AQ610" s="330">
        <v>1.168125533731853</v>
      </c>
      <c r="AR610" s="330">
        <v>1.1440270420964596</v>
      </c>
      <c r="AS610" s="330">
        <v>1.1093876723438767</v>
      </c>
      <c r="AT610" s="330">
        <v>1.0990626046200203</v>
      </c>
      <c r="AU610" s="330">
        <v>1.0944459261234833</v>
      </c>
      <c r="AV610" s="330">
        <f ca="1">Calc!AP14</f>
        <v>1.0944459261234833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-0.27</v>
      </c>
      <c r="G611" s="273">
        <v>1E-4</v>
      </c>
      <c r="H611" s="273">
        <v>-0.04</v>
      </c>
      <c r="I611" s="273">
        <v>-0.105</v>
      </c>
      <c r="J611" s="273">
        <v>-0.105</v>
      </c>
      <c r="K611" s="273">
        <v>0</v>
      </c>
      <c r="L611" s="273">
        <v>7.4999999999999997E-2</v>
      </c>
      <c r="M611" s="273">
        <v>-3.5000000000000003E-2</v>
      </c>
      <c r="N611" s="273">
        <v>0.41499999999999998</v>
      </c>
      <c r="O611" s="273">
        <v>-0.1358</v>
      </c>
      <c r="P611" s="273">
        <v>-0.11</v>
      </c>
      <c r="Q611" s="273">
        <v>-9.5000000000000001E-2</v>
      </c>
      <c r="R611" s="273">
        <v>-5.9700000000000003E-2</v>
      </c>
      <c r="S611" s="273">
        <v>-0.13</v>
      </c>
      <c r="T611" s="273">
        <v>0</v>
      </c>
      <c r="U611" s="273">
        <v>0.05</v>
      </c>
      <c r="V611" s="273">
        <v>-7.0000000000000007E-2</v>
      </c>
      <c r="W611" s="273">
        <v>0.02</v>
      </c>
      <c r="X611" s="273">
        <v>0.13</v>
      </c>
      <c r="Y611" s="273">
        <v>-2.5000000000000001E-2</v>
      </c>
      <c r="Z611" s="273">
        <f ca="1">[1]ExtEntry!$L15</f>
        <v>-2.5000000000000001E-2</v>
      </c>
      <c r="AB611" s="330">
        <v>1.4563106796116505</v>
      </c>
      <c r="AC611" s="330">
        <v>1.4353380221042056</v>
      </c>
      <c r="AD611" s="330">
        <v>1.4925373134328359</v>
      </c>
      <c r="AE611" s="330">
        <v>1.5113350125944585</v>
      </c>
      <c r="AF611" s="330">
        <v>1.5113350125944585</v>
      </c>
      <c r="AG611" s="330">
        <v>1.5228426395939088</v>
      </c>
      <c r="AH611" s="330">
        <v>1.3793103448275863</v>
      </c>
      <c r="AI611" s="330">
        <v>1.3986013986013985</v>
      </c>
      <c r="AJ611" s="330">
        <v>1.1695906432748537</v>
      </c>
      <c r="AK611" s="330">
        <v>1.2375216566289911</v>
      </c>
      <c r="AL611" s="330">
        <v>1.3043478260869565</v>
      </c>
      <c r="AM611" s="330">
        <v>1.3605442176870748</v>
      </c>
      <c r="AN611" s="330">
        <v>1.4148941187567798</v>
      </c>
      <c r="AO611" s="330">
        <v>1.4634146341463417</v>
      </c>
      <c r="AP611" s="330">
        <v>1.4634146341463417</v>
      </c>
      <c r="AQ611" s="330">
        <v>1.4976958525345623</v>
      </c>
      <c r="AR611" s="330">
        <v>1.5476190476190474</v>
      </c>
      <c r="AS611" s="330">
        <v>1.5330188679245282</v>
      </c>
      <c r="AT611" s="330">
        <v>1.4444444444444444</v>
      </c>
      <c r="AU611" s="330">
        <v>1.4606741573033708</v>
      </c>
      <c r="AV611" s="330">
        <f ca="1">Calc!AP15</f>
        <v>1.4606741573033708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-0.435</v>
      </c>
      <c r="G612" s="273">
        <v>6.5000000000000002E-2</v>
      </c>
      <c r="H612" s="273">
        <v>0.95499999999999996</v>
      </c>
      <c r="I612" s="273">
        <v>-0.40500000000000003</v>
      </c>
      <c r="J612" s="273">
        <v>-0.40500000000000003</v>
      </c>
      <c r="K612" s="273">
        <v>0.79</v>
      </c>
      <c r="L612" s="273">
        <v>-1.1200000000000001</v>
      </c>
      <c r="M612" s="273">
        <v>-0.06</v>
      </c>
      <c r="N612" s="273">
        <v>0.42</v>
      </c>
      <c r="O612" s="273">
        <v>-1.01</v>
      </c>
      <c r="P612" s="273">
        <v>0.74</v>
      </c>
      <c r="Q612" s="273">
        <v>-1.59</v>
      </c>
      <c r="R612" s="273">
        <v>-1.63</v>
      </c>
      <c r="S612" s="273">
        <v>-0.89</v>
      </c>
      <c r="T612" s="273">
        <v>1.43</v>
      </c>
      <c r="U612" s="273">
        <v>0.93</v>
      </c>
      <c r="V612" s="273">
        <v>-1.48</v>
      </c>
      <c r="W612" s="273">
        <v>-1.55</v>
      </c>
      <c r="X612" s="273">
        <v>1.355</v>
      </c>
      <c r="Y612" s="273">
        <v>-1.1100000000000001</v>
      </c>
      <c r="Z612" s="273">
        <f ca="1">[1]ExtEntry!$L16</f>
        <v>-1.1100000000000001</v>
      </c>
      <c r="AB612" s="330">
        <v>1.0932938341723679</v>
      </c>
      <c r="AC612" s="330">
        <v>1.0916967561761546</v>
      </c>
      <c r="AD612" s="330">
        <v>1.0919782543297951</v>
      </c>
      <c r="AE612" s="330">
        <v>1.0938586249946189</v>
      </c>
      <c r="AF612" s="330">
        <v>1.0938586249946189</v>
      </c>
      <c r="AG612" s="330">
        <v>1.0853084742866905</v>
      </c>
      <c r="AH612" s="330">
        <v>1.0790403431289282</v>
      </c>
      <c r="AI612" s="330">
        <v>1.0798657883552911</v>
      </c>
      <c r="AJ612" s="330">
        <v>1.0760244770051666</v>
      </c>
      <c r="AK612" s="330">
        <v>1.0851230782371029</v>
      </c>
      <c r="AL612" s="330">
        <v>1.0732067072140565</v>
      </c>
      <c r="AM612" s="330">
        <v>1.0878175357479236</v>
      </c>
      <c r="AN612" s="330">
        <v>1.0892164780521263</v>
      </c>
      <c r="AO612" s="330">
        <v>1.0823497188618163</v>
      </c>
      <c r="AP612" s="330">
        <v>1.0693225317734198</v>
      </c>
      <c r="AQ612" s="330">
        <v>1.1126383372601818</v>
      </c>
      <c r="AR612" s="330">
        <v>1.1266695637355146</v>
      </c>
      <c r="AS612" s="330">
        <v>1.1416503194612331</v>
      </c>
      <c r="AT612" s="330">
        <v>1.1287373767553033</v>
      </c>
      <c r="AU612" s="330">
        <v>1.1401736656031733</v>
      </c>
      <c r="AV612" s="330">
        <f ca="1">Calc!AP16</f>
        <v>1.1401736656031733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-0.13</v>
      </c>
      <c r="G613" s="273">
        <v>0.35</v>
      </c>
      <c r="H613" s="273">
        <v>-0.19</v>
      </c>
      <c r="I613" s="273">
        <v>0.28000000000000003</v>
      </c>
      <c r="J613" s="273">
        <v>0.28000000000000003</v>
      </c>
      <c r="K613" s="273">
        <v>0.28999999999999998</v>
      </c>
      <c r="L613" s="273">
        <v>-0.34</v>
      </c>
      <c r="M613" s="273">
        <v>-0.34</v>
      </c>
      <c r="N613" s="273">
        <v>0.39</v>
      </c>
      <c r="O613" s="273">
        <v>0.14000000000000001</v>
      </c>
      <c r="P613" s="273">
        <v>0.09</v>
      </c>
      <c r="Q613" s="273">
        <v>-0.28000000000000003</v>
      </c>
      <c r="R613" s="273">
        <v>0.12</v>
      </c>
      <c r="S613" s="273">
        <v>-0.01</v>
      </c>
      <c r="T613" s="273">
        <v>0.12</v>
      </c>
      <c r="U613" s="273">
        <v>0.57999999999999996</v>
      </c>
      <c r="V613" s="273">
        <v>0.45</v>
      </c>
      <c r="W613" s="273">
        <v>-0.47</v>
      </c>
      <c r="X613" s="273">
        <v>-7.0000000000000007E-2</v>
      </c>
      <c r="Y613" s="273">
        <v>0.27</v>
      </c>
      <c r="Z613" s="273">
        <f ca="1">[1]ExtEntry!$L17</f>
        <v>0.27</v>
      </c>
      <c r="AB613" s="330">
        <v>1.3348348348348349</v>
      </c>
      <c r="AC613" s="330">
        <v>1.31752500926269</v>
      </c>
      <c r="AD613" s="330">
        <v>1.3318352059925094</v>
      </c>
      <c r="AE613" s="330">
        <v>1.3170370370370372</v>
      </c>
      <c r="AF613" s="330">
        <v>1.3170370370370372</v>
      </c>
      <c r="AG613" s="330">
        <v>1.3030414071088312</v>
      </c>
      <c r="AH613" s="330">
        <v>1.3273609555804406</v>
      </c>
      <c r="AI613" s="330">
        <v>1.3444234404536863</v>
      </c>
      <c r="AJ613" s="330">
        <v>1.324888226527571</v>
      </c>
      <c r="AK613" s="330">
        <v>1.3180133432171981</v>
      </c>
      <c r="AL613" s="330">
        <v>1.3323342075683777</v>
      </c>
      <c r="AM613" s="330">
        <v>1.3500379650721337</v>
      </c>
      <c r="AN613" s="330">
        <v>1.3444234404536863</v>
      </c>
      <c r="AO613" s="330">
        <v>1.3388554216867472</v>
      </c>
      <c r="AP613" s="330">
        <v>1.3239017125837678</v>
      </c>
      <c r="AQ613" s="330">
        <v>1.2987582176771366</v>
      </c>
      <c r="AR613" s="330">
        <v>1.2777578153072227</v>
      </c>
      <c r="AS613" s="330">
        <v>1.2997076023391814</v>
      </c>
      <c r="AT613" s="330">
        <v>1.3030414071088312</v>
      </c>
      <c r="AU613" s="330">
        <v>1.2902757619738754</v>
      </c>
      <c r="AV613" s="330">
        <f ca="1">Calc!AP17</f>
        <v>1.2902757619738754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-1.44</v>
      </c>
      <c r="G614" s="273">
        <v>0.63500000000000001</v>
      </c>
      <c r="H614" s="273">
        <v>0.69</v>
      </c>
      <c r="I614" s="273">
        <v>2.88</v>
      </c>
      <c r="J614" s="273">
        <v>2.88</v>
      </c>
      <c r="K614" s="273">
        <v>0.79</v>
      </c>
      <c r="L614" s="273">
        <v>-3.03</v>
      </c>
      <c r="M614" s="273">
        <v>1.35</v>
      </c>
      <c r="N614" s="273">
        <v>-1.1200000000000001</v>
      </c>
      <c r="O614" s="273">
        <v>-2.5600999999999998</v>
      </c>
      <c r="P614" s="273">
        <v>1.73</v>
      </c>
      <c r="Q614" s="273">
        <v>-1.72</v>
      </c>
      <c r="R614" s="273">
        <v>-0.4</v>
      </c>
      <c r="S614" s="273">
        <v>-0.98</v>
      </c>
      <c r="T614" s="273">
        <v>-0.41</v>
      </c>
      <c r="U614" s="273">
        <v>-3.35</v>
      </c>
      <c r="V614" s="273">
        <v>2.2000000000000002</v>
      </c>
      <c r="W614" s="273">
        <v>-4.45</v>
      </c>
      <c r="X614" s="273">
        <v>1.1200000000000001</v>
      </c>
      <c r="Y614" s="273">
        <v>-0.15</v>
      </c>
      <c r="Z614" s="273">
        <f ca="1">[1]ExtEntry!$L18</f>
        <v>-0.15</v>
      </c>
      <c r="AB614" s="330">
        <v>1.1943464915572233</v>
      </c>
      <c r="AC614" s="330">
        <v>1.1786459544528791</v>
      </c>
      <c r="AD614" s="330">
        <v>1.169594105974866</v>
      </c>
      <c r="AE614" s="330">
        <v>1.1690786013369574</v>
      </c>
      <c r="AF614" s="330">
        <v>1.1690786013369574</v>
      </c>
      <c r="AG614" s="330">
        <v>1.1576829126354842</v>
      </c>
      <c r="AH614" s="330">
        <v>1.1588631034733852</v>
      </c>
      <c r="AI614" s="330">
        <v>1.1475819873089126</v>
      </c>
      <c r="AJ614" s="330">
        <v>1.1569254870601919</v>
      </c>
      <c r="AK614" s="330">
        <v>1.1788650954556263</v>
      </c>
      <c r="AL614" s="330">
        <v>1.155245862369338</v>
      </c>
      <c r="AM614" s="330">
        <v>1.1698520288150545</v>
      </c>
      <c r="AN614" s="330">
        <v>1.1654827535701207</v>
      </c>
      <c r="AO614" s="330">
        <v>1.1704542913878062</v>
      </c>
      <c r="AP614" s="330">
        <v>1.1739943198583653</v>
      </c>
      <c r="AQ614" s="330">
        <v>1.1410942610764199</v>
      </c>
      <c r="AR614" s="330">
        <v>1.1228147172847633</v>
      </c>
      <c r="AS614" s="330">
        <v>1.1605927718130955</v>
      </c>
      <c r="AT614" s="330">
        <v>1.1508472034787824</v>
      </c>
      <c r="AU614" s="330">
        <v>1.1533548726425726</v>
      </c>
      <c r="AV614" s="330">
        <f ca="1">Calc!AP18</f>
        <v>1.1533548726425726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-0.20499999999999999</v>
      </c>
      <c r="G615" s="273">
        <v>0.08</v>
      </c>
      <c r="H615" s="273">
        <v>0.16</v>
      </c>
      <c r="I615" s="273">
        <v>4.4999999999999998E-2</v>
      </c>
      <c r="J615" s="273">
        <v>4.4999999999999998E-2</v>
      </c>
      <c r="K615" s="273">
        <v>-0.27</v>
      </c>
      <c r="L615" s="273">
        <v>-0.16700000000000001</v>
      </c>
      <c r="M615" s="273">
        <v>0.06</v>
      </c>
      <c r="N615" s="273">
        <v>0.16</v>
      </c>
      <c r="O615" s="273">
        <v>-0.13969999999999999</v>
      </c>
      <c r="P615" s="273">
        <v>0.26</v>
      </c>
      <c r="Q615" s="273">
        <v>-0.31</v>
      </c>
      <c r="R615" s="273">
        <v>-0.05</v>
      </c>
      <c r="S615" s="273">
        <v>0.17</v>
      </c>
      <c r="T615" s="273">
        <v>0</v>
      </c>
      <c r="U615" s="273">
        <v>-0.14000000000000001</v>
      </c>
      <c r="V615" s="273">
        <v>-0.22</v>
      </c>
      <c r="W615" s="273">
        <v>-0.21</v>
      </c>
      <c r="X615" s="273">
        <v>0.33</v>
      </c>
      <c r="Y615" s="273">
        <v>-0.52</v>
      </c>
      <c r="Z615" s="273">
        <f ca="1">[1]ExtEntry!$L19</f>
        <v>-0.52</v>
      </c>
      <c r="AB615" s="330">
        <v>1.2632809645597369</v>
      </c>
      <c r="AC615" s="330">
        <v>1.2473304473304474</v>
      </c>
      <c r="AD615" s="330">
        <v>1.2464311463590485</v>
      </c>
      <c r="AE615" s="330">
        <v>1.237952022914429</v>
      </c>
      <c r="AF615" s="330">
        <v>1.237952022914429</v>
      </c>
      <c r="AG615" s="330">
        <v>1.2618978102189782</v>
      </c>
      <c r="AH615" s="330">
        <v>1.2275793509905559</v>
      </c>
      <c r="AI615" s="330">
        <v>1.2217667844522968</v>
      </c>
      <c r="AJ615" s="330">
        <v>1.208106219426974</v>
      </c>
      <c r="AK615" s="330">
        <v>1.2200165134118544</v>
      </c>
      <c r="AL615" s="330">
        <v>1.196401384083045</v>
      </c>
      <c r="AM615" s="330">
        <v>1.2226308345120227</v>
      </c>
      <c r="AN615" s="330">
        <v>1.2106442577030814</v>
      </c>
      <c r="AO615" s="330">
        <v>1.1922758620689655</v>
      </c>
      <c r="AP615" s="330">
        <v>1.1922758620689655</v>
      </c>
      <c r="AQ615" s="330">
        <v>1.0324232081911262</v>
      </c>
      <c r="AR615" s="330">
        <v>1.0481635481635483</v>
      </c>
      <c r="AS615" s="330">
        <v>1.0636427566807314</v>
      </c>
      <c r="AT615" s="330">
        <v>1.0395189003436425</v>
      </c>
      <c r="AU615" s="330">
        <v>1.0780470420527442</v>
      </c>
      <c r="AV615" s="330">
        <f ca="1">Calc!AP19</f>
        <v>1.0780470420527442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-1.4999999999999999E-2</v>
      </c>
      <c r="G616" s="273">
        <v>-0.13500000000000001</v>
      </c>
      <c r="H616" s="273">
        <v>-7.0000000000000007E-2</v>
      </c>
      <c r="I616" s="273">
        <v>-7.0000000000000007E-2</v>
      </c>
      <c r="J616" s="273">
        <v>-7.0000000000000007E-2</v>
      </c>
      <c r="K616" s="273">
        <v>-0.08</v>
      </c>
      <c r="L616" s="273">
        <v>-0.03</v>
      </c>
      <c r="M616" s="273">
        <v>0.155</v>
      </c>
      <c r="N616" s="273">
        <v>0.105</v>
      </c>
      <c r="O616" s="273">
        <v>-0.16</v>
      </c>
      <c r="P616" s="273">
        <v>-0.14000000000000001</v>
      </c>
      <c r="Q616" s="273">
        <v>-0.38500000000000001</v>
      </c>
      <c r="R616" s="273">
        <v>-0.11</v>
      </c>
      <c r="S616" s="273">
        <v>0.17499999999999999</v>
      </c>
      <c r="T616" s="273">
        <v>0.115</v>
      </c>
      <c r="U616" s="273">
        <v>0.17</v>
      </c>
      <c r="V616" s="273">
        <v>-0.04</v>
      </c>
      <c r="W616" s="273">
        <v>2.5000000000000001E-2</v>
      </c>
      <c r="X616" s="273">
        <v>-3.5000000000000003E-2</v>
      </c>
      <c r="Y616" s="273">
        <v>0.23</v>
      </c>
      <c r="Z616" s="273">
        <f ca="1">[1]ExtEntry!$L20</f>
        <v>0.23</v>
      </c>
      <c r="AB616" s="330">
        <v>1.0453550203315609</v>
      </c>
      <c r="AC616" s="330">
        <v>1.0542586750788645</v>
      </c>
      <c r="AD616" s="330">
        <v>1.0633153038498251</v>
      </c>
      <c r="AE616" s="330">
        <v>1.0646702771583307</v>
      </c>
      <c r="AF616" s="330">
        <v>1.0646702771583307</v>
      </c>
      <c r="AG616" s="330">
        <v>1.0701248799231509</v>
      </c>
      <c r="AH616" s="330">
        <v>1.0840090820629258</v>
      </c>
      <c r="AI616" s="330">
        <v>1.0732177263969171</v>
      </c>
      <c r="AJ616" s="330">
        <v>1.0660287081339712</v>
      </c>
      <c r="AK616" s="330">
        <v>1.0770222365452788</v>
      </c>
      <c r="AL616" s="330">
        <v>1.1062562065541213</v>
      </c>
      <c r="AM616" s="330">
        <v>1.138671209540034</v>
      </c>
      <c r="AN616" s="330">
        <v>1.1441287230400548</v>
      </c>
      <c r="AO616" s="330">
        <v>1.112887112887113</v>
      </c>
      <c r="AP616" s="330">
        <v>1.1230053191489362</v>
      </c>
      <c r="AQ616" s="330">
        <v>1.1006842619745845</v>
      </c>
      <c r="AR616" s="330">
        <v>1.103560927801372</v>
      </c>
      <c r="AS616" s="330">
        <v>1.1017612524461839</v>
      </c>
      <c r="AT616" s="330">
        <v>1.1042824452435436</v>
      </c>
      <c r="AU616" s="330">
        <v>1.0879227053140097</v>
      </c>
      <c r="AV616" s="330">
        <f ca="1">Calc!AP20</f>
        <v>1.0879227053140097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-0.01</v>
      </c>
      <c r="G617" s="273">
        <v>-5.3E-3</v>
      </c>
      <c r="H617" s="273">
        <v>-1.4999999999999999E-2</v>
      </c>
      <c r="I617" s="273">
        <v>0.01</v>
      </c>
      <c r="J617" s="273">
        <v>0.01</v>
      </c>
      <c r="K617" s="273">
        <v>0.02</v>
      </c>
      <c r="L617" s="273">
        <v>0.54359999999999997</v>
      </c>
      <c r="M617" s="273">
        <v>-0.51949999999999996</v>
      </c>
      <c r="N617" s="273">
        <v>-1.7500000000000002E-2</v>
      </c>
      <c r="O617" s="273">
        <v>-1.0699999999999999E-2</v>
      </c>
      <c r="P617" s="273">
        <v>5.0000000000000001E-3</v>
      </c>
      <c r="Q617" s="273">
        <v>-6.6E-3</v>
      </c>
      <c r="R617" s="273">
        <v>-3.8E-3</v>
      </c>
      <c r="S617" s="273">
        <v>-2.3E-3</v>
      </c>
      <c r="T617" s="273">
        <v>-4.8999999999999998E-3</v>
      </c>
      <c r="U617" s="273">
        <v>4.0000000000000001E-3</v>
      </c>
      <c r="V617" s="273">
        <v>3.0999999999999999E-3</v>
      </c>
      <c r="W617" s="273">
        <v>-3.5000000000000003E-2</v>
      </c>
      <c r="X617" s="273">
        <v>0</v>
      </c>
      <c r="Y617" s="273">
        <v>-2.5999999999999999E-3</v>
      </c>
      <c r="Z617" s="273">
        <f ca="1">[1]ExtEntry!$L21</f>
        <v>-2.5999999999999999E-3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0.18</v>
      </c>
      <c r="G618" s="273">
        <v>0.11</v>
      </c>
      <c r="H618" s="273">
        <v>4.2299999999999997E-2</v>
      </c>
      <c r="I618" s="273">
        <v>0.73</v>
      </c>
      <c r="J618" s="273">
        <v>0.73</v>
      </c>
      <c r="K618" s="273">
        <v>-0.26</v>
      </c>
      <c r="L618" s="273">
        <v>-9.5000000000000001E-2</v>
      </c>
      <c r="M618" s="273">
        <v>0.52</v>
      </c>
      <c r="N618" s="273">
        <v>-0.06</v>
      </c>
      <c r="O618" s="273">
        <v>-0.75</v>
      </c>
      <c r="P618" s="273">
        <v>0.1</v>
      </c>
      <c r="Q618" s="273">
        <v>-0.51</v>
      </c>
      <c r="R618" s="273">
        <v>-0.26</v>
      </c>
      <c r="S618" s="273">
        <v>-0.78</v>
      </c>
      <c r="T618" s="273">
        <v>0.4</v>
      </c>
      <c r="U618" s="273">
        <v>-0.03</v>
      </c>
      <c r="V618" s="273">
        <v>-0.18</v>
      </c>
      <c r="W618" s="273">
        <v>-0.66500000000000004</v>
      </c>
      <c r="X618" s="273">
        <v>1.35</v>
      </c>
      <c r="Y618" s="273">
        <v>-0.20499999999999999</v>
      </c>
      <c r="Z618" s="273">
        <f ca="1">[1]ExtEntry!$L22</f>
        <v>-0.20499999999999999</v>
      </c>
      <c r="AB618" s="330">
        <v>0.96578748206599718</v>
      </c>
      <c r="AC618" s="330">
        <v>0.95263240757120116</v>
      </c>
      <c r="AD618" s="330">
        <v>0.95563641590494097</v>
      </c>
      <c r="AE618" s="330">
        <v>0.94544083567415738</v>
      </c>
      <c r="AF618" s="330">
        <v>0.94544083567415738</v>
      </c>
      <c r="AG618" s="330">
        <v>0.94810404929577474</v>
      </c>
      <c r="AH618" s="330">
        <v>0.92410656370656374</v>
      </c>
      <c r="AI618" s="330">
        <v>0.91585561224489809</v>
      </c>
      <c r="AJ618" s="330">
        <v>0.91679111338100105</v>
      </c>
      <c r="AK618" s="330">
        <v>0.92848810344827593</v>
      </c>
      <c r="AL618" s="330">
        <v>0.91913824884792628</v>
      </c>
      <c r="AM618" s="330">
        <v>0.92720919421487613</v>
      </c>
      <c r="AN618" s="330">
        <v>0.92418585893255534</v>
      </c>
      <c r="AO618" s="330">
        <v>0.93250753246753249</v>
      </c>
      <c r="AP618" s="330">
        <v>0.92609303525365438</v>
      </c>
      <c r="AQ618" s="330">
        <v>0.98214285714285721</v>
      </c>
      <c r="AR618" s="330">
        <v>0.98586694243364359</v>
      </c>
      <c r="AS618" s="330">
        <v>0.99747144476414695</v>
      </c>
      <c r="AT618" s="330">
        <v>0.97461237008008184</v>
      </c>
      <c r="AU618" s="330">
        <v>0.97769421416972913</v>
      </c>
      <c r="AV618" s="330">
        <f ca="1">Calc!AP22</f>
        <v>0.97769421416972913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-0.36499999999999999</v>
      </c>
      <c r="G619" s="273">
        <v>-6.5000000000000002E-2</v>
      </c>
      <c r="H619" s="273">
        <v>0.20499999999999999</v>
      </c>
      <c r="I619" s="273">
        <v>-0.2</v>
      </c>
      <c r="J619" s="273">
        <v>-0.2</v>
      </c>
      <c r="K619" s="273">
        <v>-0.29499999999999998</v>
      </c>
      <c r="L619" s="273">
        <v>0.12</v>
      </c>
      <c r="M619" s="273">
        <v>-5.5E-2</v>
      </c>
      <c r="N619" s="273">
        <v>0.20499999999999999</v>
      </c>
      <c r="O619" s="273">
        <v>0.47499999999999998</v>
      </c>
      <c r="P619" s="273">
        <v>-0.59</v>
      </c>
      <c r="Q619" s="273">
        <v>-0.22500000000000001</v>
      </c>
      <c r="R619" s="273">
        <v>-0.03</v>
      </c>
      <c r="S619" s="273">
        <v>0.14000000000000001</v>
      </c>
      <c r="T619" s="273">
        <v>0.34</v>
      </c>
      <c r="U619" s="273">
        <v>-1.4999999999999999E-2</v>
      </c>
      <c r="V619" s="273">
        <v>0.38500000000000001</v>
      </c>
      <c r="W619" s="273">
        <v>0.56000000000000005</v>
      </c>
      <c r="X619" s="273">
        <v>0.42</v>
      </c>
      <c r="Y619" s="273">
        <v>-0.125</v>
      </c>
      <c r="Z619" s="273">
        <f ca="1">[1]ExtEntry!$L23</f>
        <v>-0.125</v>
      </c>
      <c r="AB619" s="330">
        <v>1.0771408351026184</v>
      </c>
      <c r="AC619" s="330">
        <v>1.0741002117148906</v>
      </c>
      <c r="AD619" s="330">
        <v>1.0685700912707699</v>
      </c>
      <c r="AE619" s="330">
        <v>1.0653289780681288</v>
      </c>
      <c r="AF619" s="330">
        <v>1.0653289780681288</v>
      </c>
      <c r="AG619" s="330">
        <v>1.0848182466143976</v>
      </c>
      <c r="AH619" s="330">
        <v>1.0115197164377492</v>
      </c>
      <c r="AI619" s="330">
        <v>1.0144412352810486</v>
      </c>
      <c r="AJ619" s="330">
        <v>1.0055053952873816</v>
      </c>
      <c r="AK619" s="330">
        <v>0.98383968972204261</v>
      </c>
      <c r="AL619" s="330">
        <v>1.0115197164377492</v>
      </c>
      <c r="AM619" s="330">
        <v>1.0217050794361155</v>
      </c>
      <c r="AN619" s="330">
        <v>1.0079470198675498</v>
      </c>
      <c r="AO619" s="330">
        <v>1.0004382120946538</v>
      </c>
      <c r="AP619" s="330">
        <v>0.98575129533678751</v>
      </c>
      <c r="AQ619" s="330">
        <v>0.97128270580727505</v>
      </c>
      <c r="AR619" s="330">
        <v>0.95583001884027619</v>
      </c>
      <c r="AS619" s="330">
        <v>0.93412438625204575</v>
      </c>
      <c r="AT619" s="330">
        <v>0.91834271922767496</v>
      </c>
      <c r="AU619" s="330">
        <v>0.92298362644026677</v>
      </c>
      <c r="AV619" s="330">
        <f ca="1">Calc!AP23</f>
        <v>0.92298362644026677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-0.41</v>
      </c>
      <c r="G620" s="273">
        <v>-0.2</v>
      </c>
      <c r="H620" s="273">
        <v>0.15</v>
      </c>
      <c r="I620" s="273">
        <v>0.28499999999999998</v>
      </c>
      <c r="J620" s="273">
        <v>0.28499999999999998</v>
      </c>
      <c r="K620" s="273">
        <v>-0.53</v>
      </c>
      <c r="L620" s="273">
        <v>-0.24</v>
      </c>
      <c r="M620" s="273">
        <v>-0.49</v>
      </c>
      <c r="N620" s="273">
        <v>0.13</v>
      </c>
      <c r="O620" s="273">
        <v>0.77500000000000002</v>
      </c>
      <c r="P620" s="273">
        <v>0.19</v>
      </c>
      <c r="Q620" s="273">
        <v>-0.375</v>
      </c>
      <c r="R620" s="273">
        <v>-0.29499999999999998</v>
      </c>
      <c r="S620" s="273">
        <v>-0.24</v>
      </c>
      <c r="T620" s="273">
        <v>0.22</v>
      </c>
      <c r="U620" s="273">
        <v>2.5000000000000001E-2</v>
      </c>
      <c r="V620" s="273">
        <v>-0.31</v>
      </c>
      <c r="W620" s="273">
        <v>-0.38100000000000001</v>
      </c>
      <c r="X620" s="273">
        <v>-3.5000000000000003E-2</v>
      </c>
      <c r="Y620" s="273">
        <v>-0.38500000000000001</v>
      </c>
      <c r="Z620" s="273">
        <f ca="1">[1]ExtEntry!$L24</f>
        <v>-0.38500000000000001</v>
      </c>
      <c r="AB620" s="330">
        <v>1.0179805462027685</v>
      </c>
      <c r="AC620" s="330">
        <v>1.0179805462027685</v>
      </c>
      <c r="AD620" s="330">
        <v>1.0119233915953885</v>
      </c>
      <c r="AE620" s="330">
        <v>1.0035264613682464</v>
      </c>
      <c r="AF620" s="330">
        <v>1.0035264613682464</v>
      </c>
      <c r="AG620" s="330">
        <v>1.0279795995466565</v>
      </c>
      <c r="AH620" s="330">
        <v>0.98947709090909086</v>
      </c>
      <c r="AI620" s="330">
        <v>1.0074276194002221</v>
      </c>
      <c r="AJ620" s="330">
        <v>1.0026020633750921</v>
      </c>
      <c r="AK620" s="330">
        <v>0.9758156715079791</v>
      </c>
      <c r="AL620" s="330">
        <v>0.95342046250875967</v>
      </c>
      <c r="AM620" s="330">
        <v>0.96611468134209122</v>
      </c>
      <c r="AN620" s="330">
        <v>0.94992564147320646</v>
      </c>
      <c r="AO620" s="330">
        <v>0.94810522648083617</v>
      </c>
      <c r="AP620" s="330">
        <v>0.94089280774550477</v>
      </c>
      <c r="AQ620" s="330">
        <v>0.95242635790907548</v>
      </c>
      <c r="AR620" s="330">
        <v>0.96308539944903582</v>
      </c>
      <c r="AS620" s="330">
        <v>0.98583010222065559</v>
      </c>
      <c r="AT620" s="330">
        <v>0.98704782071642838</v>
      </c>
      <c r="AU620" s="330">
        <v>1.0004650330888929</v>
      </c>
      <c r="AV620" s="330">
        <f ca="1">Calc!AP24</f>
        <v>1.0004650330888929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-0.4</v>
      </c>
      <c r="G621" s="273">
        <v>2</v>
      </c>
      <c r="H621" s="273">
        <v>1.4</v>
      </c>
      <c r="I621" s="273">
        <v>3.9</v>
      </c>
      <c r="J621" s="273">
        <v>3.9</v>
      </c>
      <c r="K621" s="273">
        <v>-6.1</v>
      </c>
      <c r="L621" s="273">
        <v>8.8000000000000007</v>
      </c>
      <c r="M621" s="273">
        <v>-2</v>
      </c>
      <c r="N621" s="273">
        <v>-8</v>
      </c>
      <c r="O621" s="273">
        <v>4.9000000000000004</v>
      </c>
      <c r="P621" s="273">
        <v>7.7</v>
      </c>
      <c r="Q621" s="273">
        <v>-15.6</v>
      </c>
      <c r="R621" s="273">
        <v>10.084</v>
      </c>
      <c r="S621" s="273">
        <v>-0.3</v>
      </c>
      <c r="T621" s="273">
        <v>0.8</v>
      </c>
      <c r="U621" s="273">
        <v>3.5</v>
      </c>
      <c r="V621" s="273">
        <v>3.7</v>
      </c>
      <c r="W621" s="273">
        <v>-16.2</v>
      </c>
      <c r="X621" s="273">
        <v>0.6</v>
      </c>
      <c r="Y621" s="273">
        <v>-0.3</v>
      </c>
      <c r="Z621" s="273">
        <f ca="1">[1]ExtEntry!$L25</f>
        <v>-0.3</v>
      </c>
      <c r="AB621" s="330">
        <v>1.0534310416666666</v>
      </c>
      <c r="AC621" s="330">
        <v>1.0479728497409326</v>
      </c>
      <c r="AD621" s="330">
        <v>1.0401581897660068</v>
      </c>
      <c r="AE621" s="330">
        <v>1.0269548616400102</v>
      </c>
      <c r="AF621" s="330">
        <v>1.0269548616400102</v>
      </c>
      <c r="AG621" s="330">
        <v>1.043108612686952</v>
      </c>
      <c r="AH621" s="330">
        <v>1.025133096806893</v>
      </c>
      <c r="AI621" s="330">
        <v>1.0303553744268976</v>
      </c>
      <c r="AJ621" s="330">
        <v>1.0517876235049402</v>
      </c>
      <c r="AK621" s="330">
        <v>1.038555892169448</v>
      </c>
      <c r="AL621" s="330">
        <v>1.0377565931246793</v>
      </c>
      <c r="AM621" s="330">
        <v>1.0701521693121694</v>
      </c>
      <c r="AN621" s="330">
        <v>1.0348786852365408</v>
      </c>
      <c r="AO621" s="330">
        <v>1.035366060916304</v>
      </c>
      <c r="AP621" s="330">
        <v>1.0351011258955987</v>
      </c>
      <c r="AQ621" s="330">
        <v>1.1056263318112634</v>
      </c>
      <c r="AR621" s="330">
        <v>1.0953453128926867</v>
      </c>
      <c r="AS621" s="330">
        <v>1.1418336389834949</v>
      </c>
      <c r="AT621" s="330">
        <v>1.1400415903740517</v>
      </c>
      <c r="AU621" s="330">
        <v>1.1409369109947645</v>
      </c>
      <c r="AV621" s="330">
        <f ca="1">Calc!AP25</f>
        <v>1.1409369109947645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-0.77500000000000002</v>
      </c>
      <c r="G622" s="273">
        <v>0.73</v>
      </c>
      <c r="H622" s="273">
        <v>0.48</v>
      </c>
      <c r="I622" s="273">
        <v>1.0049999999999999</v>
      </c>
      <c r="J622" s="273">
        <v>1.0049999999999999</v>
      </c>
      <c r="K622" s="273">
        <v>1.1000000000000001</v>
      </c>
      <c r="L622" s="273">
        <v>0.55000000000000004</v>
      </c>
      <c r="M622" s="273">
        <v>-1.1599999999999999</v>
      </c>
      <c r="N622" s="273">
        <v>-1.04</v>
      </c>
      <c r="O622" s="273">
        <v>-1.1599999999999999</v>
      </c>
      <c r="P622" s="273">
        <v>0.38</v>
      </c>
      <c r="Q622" s="273">
        <v>0.88</v>
      </c>
      <c r="R622" s="273">
        <v>-1.38</v>
      </c>
      <c r="S622" s="273">
        <v>-0.44</v>
      </c>
      <c r="T622" s="273">
        <v>-0.36</v>
      </c>
      <c r="U622" s="273">
        <v>0.27500000000000002</v>
      </c>
      <c r="V622" s="273">
        <v>-0.34</v>
      </c>
      <c r="W622" s="273">
        <v>-0.56000000000000005</v>
      </c>
      <c r="X622" s="273">
        <v>0.16</v>
      </c>
      <c r="Y622" s="273">
        <v>1.06</v>
      </c>
      <c r="Z622" s="273">
        <f ca="1">[1]ExtEntry!$L26</f>
        <v>1.06</v>
      </c>
      <c r="AB622" s="330">
        <v>1.0711602329092083</v>
      </c>
      <c r="AC622" s="330">
        <v>1.0703138916822295</v>
      </c>
      <c r="AD622" s="330">
        <v>1.061772124839675</v>
      </c>
      <c r="AE622" s="330">
        <v>1.0531422715386245</v>
      </c>
      <c r="AF622" s="330">
        <v>1.0531422715386245</v>
      </c>
      <c r="AG622" s="330">
        <v>1.0373788638262322</v>
      </c>
      <c r="AH622" s="330">
        <v>1.062680787334189</v>
      </c>
      <c r="AI622" s="330">
        <v>1.0800891562771817</v>
      </c>
      <c r="AJ622" s="330">
        <v>1.0964613686534215</v>
      </c>
      <c r="AK622" s="330">
        <v>1.115003741394792</v>
      </c>
      <c r="AL622" s="330">
        <v>1.0982392393867924</v>
      </c>
      <c r="AM622" s="330">
        <v>1.0841756402793945</v>
      </c>
      <c r="AN622" s="330">
        <v>1.1077096342551291</v>
      </c>
      <c r="AO622" s="330">
        <v>1.0924420821114369</v>
      </c>
      <c r="AP622" s="330">
        <v>1.0982392393867924</v>
      </c>
      <c r="AQ622" s="330">
        <v>1.1132270488790885</v>
      </c>
      <c r="AR622" s="330">
        <v>1.119232485959208</v>
      </c>
      <c r="AS622" s="330">
        <v>1.1290781273296557</v>
      </c>
      <c r="AT622" s="330">
        <v>1.1270616163119513</v>
      </c>
      <c r="AU622" s="330">
        <v>1.1089071606384535</v>
      </c>
      <c r="AV622" s="330">
        <f ca="1">Calc!AP26</f>
        <v>1.1089071606384535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-0.2</v>
      </c>
      <c r="G623" s="273">
        <v>0.16500000000000001</v>
      </c>
      <c r="H623" s="273">
        <v>6.0100000000000001E-2</v>
      </c>
      <c r="I623" s="273">
        <v>-0.215</v>
      </c>
      <c r="J623" s="273">
        <v>-0.215</v>
      </c>
      <c r="K623" s="273">
        <v>0.05</v>
      </c>
      <c r="L623" s="273">
        <v>-0.24</v>
      </c>
      <c r="M623" s="273">
        <v>-7.0000000000000007E-2</v>
      </c>
      <c r="N623" s="273">
        <v>-0.4</v>
      </c>
      <c r="O623" s="273">
        <v>-0.09</v>
      </c>
      <c r="P623" s="273">
        <v>0.13</v>
      </c>
      <c r="Q623" s="273">
        <v>-0.1142</v>
      </c>
      <c r="R623" s="273">
        <v>-0.06</v>
      </c>
      <c r="S623" s="273">
        <v>-0.31</v>
      </c>
      <c r="T623" s="273">
        <v>0.13</v>
      </c>
      <c r="U623" s="273">
        <v>0.17</v>
      </c>
      <c r="V623" s="273">
        <v>-0.14000000000000001</v>
      </c>
      <c r="W623" s="273">
        <v>-7.0000000000000007E-2</v>
      </c>
      <c r="X623" s="273">
        <v>-0.04</v>
      </c>
      <c r="Y623" s="273">
        <v>0.34</v>
      </c>
      <c r="Z623" s="273">
        <f ca="1">[1]ExtEntry!$L27</f>
        <v>0.34</v>
      </c>
      <c r="AB623" s="330">
        <v>1.1942675159235667</v>
      </c>
      <c r="AC623" s="330">
        <v>1.1843663639952626</v>
      </c>
      <c r="AD623" s="330">
        <v>1.1801638067363749</v>
      </c>
      <c r="AE623" s="330">
        <v>1.1966493817311528</v>
      </c>
      <c r="AF623" s="330">
        <v>1.1966493817311528</v>
      </c>
      <c r="AG623" s="330">
        <v>1.1952191235059759</v>
      </c>
      <c r="AH623" s="330">
        <v>1.1848341232227488</v>
      </c>
      <c r="AI623" s="330">
        <v>1.1914217633042097</v>
      </c>
      <c r="AJ623" s="330">
        <v>1.2305168170631666</v>
      </c>
      <c r="AK623" s="330">
        <v>1.2396694214876034</v>
      </c>
      <c r="AL623" s="330">
        <v>1.221498371335505</v>
      </c>
      <c r="AM623" s="330">
        <v>1.2329645399398312</v>
      </c>
      <c r="AN623" s="330">
        <v>1.2205044751830758</v>
      </c>
      <c r="AO623" s="330">
        <v>1.2458471760797343</v>
      </c>
      <c r="AP623" s="330">
        <v>1.2325390304026294</v>
      </c>
      <c r="AQ623" s="330">
        <v>1.2155591572123177</v>
      </c>
      <c r="AR623" s="330">
        <v>1.2295081967213115</v>
      </c>
      <c r="AS623" s="330">
        <v>1.2366034624896949</v>
      </c>
      <c r="AT623" s="330">
        <v>1.2406947890818858</v>
      </c>
      <c r="AU623" s="330">
        <v>1.2028869286287089</v>
      </c>
      <c r="AV623" s="330">
        <f ca="1">Calc!AP27</f>
        <v>1.2028869286287089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-0.155</v>
      </c>
      <c r="G624" s="273">
        <v>9.5000000000000001E-2</v>
      </c>
      <c r="H624" s="273">
        <v>0.29809999999999998</v>
      </c>
      <c r="I624" s="273">
        <v>-0.09</v>
      </c>
      <c r="J624" s="273">
        <v>-0.09</v>
      </c>
      <c r="K624" s="273">
        <v>-0.16500000000000001</v>
      </c>
      <c r="L624" s="273">
        <v>7.4999999999999997E-2</v>
      </c>
      <c r="M624" s="273">
        <v>-5.0000000000000001E-3</v>
      </c>
      <c r="N624" s="273">
        <v>0.58499999999999996</v>
      </c>
      <c r="O624" s="273">
        <v>-0.17499999999999999</v>
      </c>
      <c r="P624" s="273">
        <v>-0.05</v>
      </c>
      <c r="Q624" s="273">
        <v>-0.19500000000000001</v>
      </c>
      <c r="R624" s="273">
        <v>-0.03</v>
      </c>
      <c r="S624" s="273">
        <v>-7.0000000000000007E-2</v>
      </c>
      <c r="T624" s="273">
        <v>0.25</v>
      </c>
      <c r="U624" s="273">
        <v>0.36499999999999999</v>
      </c>
      <c r="V624" s="273">
        <v>0.52</v>
      </c>
      <c r="W624" s="273">
        <v>0.505</v>
      </c>
      <c r="X624" s="273">
        <v>-5.5E-2</v>
      </c>
      <c r="Y624" s="273">
        <v>-3.5000000000000003E-2</v>
      </c>
      <c r="Z624" s="273">
        <f ca="1">[1]ExtEntry!$L28</f>
        <v>-3.5000000000000003E-2</v>
      </c>
      <c r="AB624" s="330">
        <v>1.2057761732851984</v>
      </c>
      <c r="AC624" s="330">
        <v>1.1296505073280723</v>
      </c>
      <c r="AD624" s="330">
        <v>1.0596222584124699</v>
      </c>
      <c r="AE624" s="330">
        <v>1.0891304347826087</v>
      </c>
      <c r="AF624" s="330">
        <v>1.0891304347826087</v>
      </c>
      <c r="AG624" s="330">
        <v>1.1322033898305084</v>
      </c>
      <c r="AH624" s="330">
        <v>1.0693703308431164</v>
      </c>
      <c r="AI624" s="330">
        <v>1.0693703308431164</v>
      </c>
      <c r="AJ624" s="330">
        <v>0.94976303317535538</v>
      </c>
      <c r="AK624" s="330">
        <v>0.98331697742885182</v>
      </c>
      <c r="AL624" s="330">
        <v>1.0080482897384306</v>
      </c>
      <c r="AM624" s="330">
        <v>1.0492146596858638</v>
      </c>
      <c r="AN624" s="330">
        <v>1.0525210084033614</v>
      </c>
      <c r="AO624" s="330">
        <v>1.0614406779661016</v>
      </c>
      <c r="AP624" s="330">
        <v>1.0080482897384306</v>
      </c>
      <c r="AQ624" s="330">
        <v>0.98960312805474093</v>
      </c>
      <c r="AR624" s="330">
        <v>0.89748581560283691</v>
      </c>
      <c r="AS624" s="330">
        <v>0.82507253463732688</v>
      </c>
      <c r="AT624" s="330">
        <v>0.83185209531635174</v>
      </c>
      <c r="AU624" s="330">
        <v>0.8359735755573906</v>
      </c>
      <c r="AV624" s="330">
        <f ca="1">Calc!AP28</f>
        <v>0.8359735755573906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-0.27010000000000001</v>
      </c>
      <c r="G625" s="273">
        <v>1.1299999999999999</v>
      </c>
      <c r="H625" s="273">
        <v>1.4999999999999999E-2</v>
      </c>
      <c r="I625" s="273">
        <v>-0.155</v>
      </c>
      <c r="J625" s="273">
        <v>-0.155</v>
      </c>
      <c r="K625" s="273">
        <v>-1.02</v>
      </c>
      <c r="L625" s="273">
        <v>-1.77</v>
      </c>
      <c r="M625" s="273">
        <v>-0.62</v>
      </c>
      <c r="N625" s="273">
        <v>0.37</v>
      </c>
      <c r="O625" s="273">
        <v>-0.65500000000000003</v>
      </c>
      <c r="P625" s="273">
        <v>-0.38</v>
      </c>
      <c r="Q625" s="273">
        <v>-0.61</v>
      </c>
      <c r="R625" s="273">
        <v>0.09</v>
      </c>
      <c r="S625" s="273">
        <v>-0.14000000000000001</v>
      </c>
      <c r="T625" s="273">
        <v>0.23</v>
      </c>
      <c r="U625" s="273">
        <v>-0.31</v>
      </c>
      <c r="V625" s="273">
        <v>-0.36</v>
      </c>
      <c r="W625" s="273">
        <v>-0.16</v>
      </c>
      <c r="X625" s="273">
        <v>1.07</v>
      </c>
      <c r="Y625" s="273">
        <v>-1.88</v>
      </c>
      <c r="Z625" s="273">
        <f ca="1">[1]ExtEntry!$L29</f>
        <v>-1.88</v>
      </c>
      <c r="AB625" s="330">
        <v>1.7877944695509749</v>
      </c>
      <c r="AC625" s="330">
        <v>1.7106725377426313</v>
      </c>
      <c r="AD625" s="330">
        <v>1.69755341537364</v>
      </c>
      <c r="AE625" s="330">
        <v>1.7036302129944516</v>
      </c>
      <c r="AF625" s="330">
        <v>1.7036302129944516</v>
      </c>
      <c r="AG625" s="330">
        <v>1.7698367422833767</v>
      </c>
      <c r="AH625" s="330">
        <v>1.8773534516765285</v>
      </c>
      <c r="AI625" s="330">
        <v>1.9244201374848362</v>
      </c>
      <c r="AJ625" s="330">
        <v>1.8960521912350596</v>
      </c>
      <c r="AK625" s="330">
        <v>1.9468566168950705</v>
      </c>
      <c r="AL625" s="330">
        <v>1.9755462847654628</v>
      </c>
      <c r="AM625" s="330">
        <v>2.0268701022146507</v>
      </c>
      <c r="AN625" s="330">
        <v>1.9600869028006589</v>
      </c>
      <c r="AO625" s="330">
        <v>1.9788320166320166</v>
      </c>
      <c r="AP625" s="330">
        <v>1.9600869028006589</v>
      </c>
      <c r="AQ625" s="330">
        <v>1.7821184051550545</v>
      </c>
      <c r="AR625" s="330">
        <v>1.8083367388639151</v>
      </c>
      <c r="AS625" s="330">
        <v>1.8202385849444673</v>
      </c>
      <c r="AT625" s="330">
        <v>1.7434988179669031</v>
      </c>
      <c r="AU625" s="330">
        <v>1.8821777966822628</v>
      </c>
      <c r="AV625" s="330">
        <f ca="1">Calc!AP29</f>
        <v>1.8821777966822628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3.4</v>
      </c>
      <c r="G626" s="273">
        <v>0.34</v>
      </c>
      <c r="H626" s="273">
        <v>-2.13</v>
      </c>
      <c r="I626" s="273">
        <v>-8.17</v>
      </c>
      <c r="J626" s="273">
        <v>-8.17</v>
      </c>
      <c r="K626" s="273">
        <v>-4.05</v>
      </c>
      <c r="L626" s="273">
        <v>-2.97</v>
      </c>
      <c r="M626" s="273">
        <v>-2.2200000000000002</v>
      </c>
      <c r="N626" s="273">
        <v>4.7</v>
      </c>
      <c r="O626" s="273">
        <v>1.3149999999999999</v>
      </c>
      <c r="P626" s="273">
        <v>-2.95</v>
      </c>
      <c r="Q626" s="273">
        <v>-5.85</v>
      </c>
      <c r="R626" s="273">
        <v>0.28999999999999998</v>
      </c>
      <c r="S626" s="273">
        <v>0.23</v>
      </c>
      <c r="T626" s="273">
        <v>2.62</v>
      </c>
      <c r="U626" s="273">
        <v>3.2</v>
      </c>
      <c r="V626" s="273">
        <v>0.21</v>
      </c>
      <c r="W626" s="273">
        <v>1.96</v>
      </c>
      <c r="X626" s="273">
        <v>1</v>
      </c>
      <c r="Y626" s="273">
        <v>8.89</v>
      </c>
      <c r="Z626" s="273">
        <f ca="1">[1]ExtEntry!$L30</f>
        <v>8.89</v>
      </c>
      <c r="AB626" s="330">
        <v>0.9967227756784609</v>
      </c>
      <c r="AC626" s="330">
        <v>0.99893424123025121</v>
      </c>
      <c r="AD626" s="330">
        <v>1.0081514940931202</v>
      </c>
      <c r="AE626" s="330">
        <v>1.0261977089187118</v>
      </c>
      <c r="AF626" s="330">
        <v>1.0261977089187118</v>
      </c>
      <c r="AG626" s="330">
        <v>1.0327113817922959</v>
      </c>
      <c r="AH626" s="330">
        <v>1.0357014238686391</v>
      </c>
      <c r="AI626" s="330">
        <v>1.0402812524898413</v>
      </c>
      <c r="AJ626" s="330">
        <v>1.0306326715870071</v>
      </c>
      <c r="AK626" s="330">
        <v>1.0279650825205933</v>
      </c>
      <c r="AL626" s="330">
        <v>1.030734374074878</v>
      </c>
      <c r="AM626" s="330">
        <v>1.0427737401166042</v>
      </c>
      <c r="AN626" s="330">
        <v>1.0333448091648363</v>
      </c>
      <c r="AO626" s="330">
        <v>1.0334674977738201</v>
      </c>
      <c r="AP626" s="330">
        <v>1.0281370947103174</v>
      </c>
      <c r="AQ626" s="330">
        <v>1.2322191890806906</v>
      </c>
      <c r="AR626" s="330">
        <v>1.231700006019141</v>
      </c>
      <c r="AS626" s="330">
        <v>1.2268753122689211</v>
      </c>
      <c r="AT626" s="330">
        <v>1.224428266549654</v>
      </c>
      <c r="AU626" s="330">
        <v>1.2039450872720143</v>
      </c>
      <c r="AV626" s="330">
        <f ca="1">Calc!AP30</f>
        <v>1.2039450872720143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-0.81</v>
      </c>
      <c r="G627" s="273">
        <v>0.3</v>
      </c>
      <c r="H627" s="273">
        <v>0.92</v>
      </c>
      <c r="I627" s="273">
        <v>0.57499999999999996</v>
      </c>
      <c r="J627" s="273">
        <v>0.57499999999999996</v>
      </c>
      <c r="K627" s="273">
        <v>-0.32</v>
      </c>
      <c r="L627" s="273">
        <v>-1</v>
      </c>
      <c r="M627" s="273">
        <v>-0.48</v>
      </c>
      <c r="N627" s="273">
        <v>-0.97</v>
      </c>
      <c r="O627" s="273">
        <v>-0.44350000000000001</v>
      </c>
      <c r="P627" s="273">
        <v>-0.04</v>
      </c>
      <c r="Q627" s="273">
        <v>0</v>
      </c>
      <c r="R627" s="273">
        <v>-0.99</v>
      </c>
      <c r="S627" s="273">
        <v>-1.02</v>
      </c>
      <c r="T627" s="273">
        <v>-0.76</v>
      </c>
      <c r="U627" s="273">
        <v>-1.0900000000000001</v>
      </c>
      <c r="V627" s="273">
        <v>0.31</v>
      </c>
      <c r="W627" s="273">
        <v>0.97499999999999998</v>
      </c>
      <c r="X627" s="273">
        <v>0.32500000000000001</v>
      </c>
      <c r="Y627" s="273">
        <v>0.34</v>
      </c>
      <c r="Z627" s="273">
        <f ca="1">[1]ExtEntry!$L31</f>
        <v>0.34</v>
      </c>
      <c r="AB627" s="330">
        <v>1.1282207301720519</v>
      </c>
      <c r="AC627" s="330">
        <v>1.1118899917287013</v>
      </c>
      <c r="AD627" s="330">
        <v>1.0566815144766146</v>
      </c>
      <c r="AE627" s="330">
        <v>1.0571662625335867</v>
      </c>
      <c r="AF627" s="330">
        <v>1.0571662625335867</v>
      </c>
      <c r="AG627" s="330">
        <v>1.0586231788948681</v>
      </c>
      <c r="AH627" s="330">
        <v>1.0708510355815188</v>
      </c>
      <c r="AI627" s="330">
        <v>1.0777191341528594</v>
      </c>
      <c r="AJ627" s="330">
        <v>1.09187085420333</v>
      </c>
      <c r="AK627" s="330">
        <v>1.1067027991218441</v>
      </c>
      <c r="AL627" s="330">
        <v>1.1194517696044413</v>
      </c>
      <c r="AM627" s="330">
        <v>1.1194517696044413</v>
      </c>
      <c r="AN627" s="330">
        <v>1.1255442366731789</v>
      </c>
      <c r="AO627" s="330">
        <v>1.126015635906743</v>
      </c>
      <c r="AP627" s="330">
        <v>1.1380908706081556</v>
      </c>
      <c r="AQ627" s="330">
        <v>1.1788299670534308</v>
      </c>
      <c r="AR627" s="330">
        <v>1.1742882420091325</v>
      </c>
      <c r="AS627" s="330">
        <v>1.1583379548173693</v>
      </c>
      <c r="AT627" s="330">
        <v>1.1531439781405453</v>
      </c>
      <c r="AU627" s="330">
        <v>1.1483968741278261</v>
      </c>
      <c r="AV627" s="330">
        <f ca="1">Calc!AP31</f>
        <v>1.1483968741278261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-0.33500000000000002</v>
      </c>
      <c r="G628" s="273">
        <v>0.61499999999999999</v>
      </c>
      <c r="H628" s="273">
        <v>-0.2</v>
      </c>
      <c r="I628" s="273">
        <v>-1.6850000000000001</v>
      </c>
      <c r="J628" s="273">
        <v>-1.6850000000000001</v>
      </c>
      <c r="K628" s="273">
        <v>1.6</v>
      </c>
      <c r="L628" s="273">
        <v>0.30499999999999999</v>
      </c>
      <c r="M628" s="273">
        <v>1.355</v>
      </c>
      <c r="N628" s="273">
        <v>-0.03</v>
      </c>
      <c r="O628" s="273">
        <v>0.36840000000000001</v>
      </c>
      <c r="P628" s="273">
        <v>1.43</v>
      </c>
      <c r="Q628" s="273">
        <v>1.62</v>
      </c>
      <c r="R628" s="273">
        <v>0.42499999999999999</v>
      </c>
      <c r="S628" s="273">
        <v>-0.44</v>
      </c>
      <c r="T628" s="273">
        <v>-0.28999999999999998</v>
      </c>
      <c r="U628" s="273">
        <v>-0.4</v>
      </c>
      <c r="V628" s="273">
        <v>0.17</v>
      </c>
      <c r="W628" s="273">
        <v>2.5499999999999998</v>
      </c>
      <c r="X628" s="273">
        <v>1.165</v>
      </c>
      <c r="Y628" s="273">
        <v>-0.38500000000000001</v>
      </c>
      <c r="Z628" s="273">
        <f ca="1">[1]ExtEntry!$L32</f>
        <v>-0.38500000000000001</v>
      </c>
      <c r="AB628" s="330">
        <v>0.95308479296445592</v>
      </c>
      <c r="AC628" s="330">
        <v>0.94108415949055646</v>
      </c>
      <c r="AD628" s="330">
        <v>0.94060769564588453</v>
      </c>
      <c r="AE628" s="330">
        <v>0.96596910049766027</v>
      </c>
      <c r="AF628" s="330">
        <v>0.96596910049766027</v>
      </c>
      <c r="AG628" s="330">
        <v>0.94265308785155111</v>
      </c>
      <c r="AH628" s="330">
        <v>0.91486753429475898</v>
      </c>
      <c r="AI628" s="330">
        <v>0.89744268856531639</v>
      </c>
      <c r="AJ628" s="330">
        <v>0.89812444751381204</v>
      </c>
      <c r="AK628" s="330">
        <v>0.89370038373576111</v>
      </c>
      <c r="AL628" s="330">
        <v>0.87398131720430094</v>
      </c>
      <c r="AM628" s="330">
        <v>0.8553566166798211</v>
      </c>
      <c r="AN628" s="330">
        <v>0.85238526577964213</v>
      </c>
      <c r="AO628" s="330">
        <v>0.86216136303367796</v>
      </c>
      <c r="AP628" s="330">
        <v>0.86837887286324789</v>
      </c>
      <c r="AQ628" s="330">
        <v>0.96640807707535969</v>
      </c>
      <c r="AR628" s="330">
        <v>0.96449868282402518</v>
      </c>
      <c r="AS628" s="330">
        <v>0.93315585574104754</v>
      </c>
      <c r="AT628" s="330">
        <v>0.91996658081537785</v>
      </c>
      <c r="AU628" s="330">
        <v>0.92379663155238756</v>
      </c>
      <c r="AV628" s="330">
        <f ca="1">Calc!AP32</f>
        <v>0.92379663155238756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33.29</v>
      </c>
      <c r="G629" s="273">
        <v>8.39</v>
      </c>
      <c r="H629" s="273">
        <v>4.3</v>
      </c>
      <c r="I629" s="273">
        <v>-32.47</v>
      </c>
      <c r="J629" s="273">
        <v>-32.47</v>
      </c>
      <c r="K629" s="273">
        <v>-0.28999999999999998</v>
      </c>
      <c r="L629" s="273">
        <v>13.42</v>
      </c>
      <c r="M629" s="273">
        <v>8.02</v>
      </c>
      <c r="N629" s="273">
        <v>-2.59</v>
      </c>
      <c r="O629" s="273">
        <v>2.5449999999999999</v>
      </c>
      <c r="P629" s="273">
        <v>-23.2</v>
      </c>
      <c r="Q629" s="273">
        <v>-5.7525000000000004</v>
      </c>
      <c r="R629" s="273">
        <v>-2.65</v>
      </c>
      <c r="S629" s="273">
        <v>12.07</v>
      </c>
      <c r="T629" s="273">
        <v>31.3</v>
      </c>
      <c r="U629" s="273">
        <v>0.94</v>
      </c>
      <c r="V629" s="273">
        <v>18.489999999999998</v>
      </c>
      <c r="W629" s="273">
        <v>-15.54</v>
      </c>
      <c r="X629" s="273">
        <v>-42.57</v>
      </c>
      <c r="Y629" s="273">
        <v>-15.06</v>
      </c>
      <c r="Z629" s="273">
        <f ca="1">[1]ExtEntry!$L33</f>
        <v>-15.06</v>
      </c>
      <c r="AB629" s="330">
        <v>0.95008636778618916</v>
      </c>
      <c r="AC629" s="330">
        <v>0.94915081318858707</v>
      </c>
      <c r="AD629" s="330">
        <v>0.94586800723909104</v>
      </c>
      <c r="AE629" s="330">
        <v>0.96976002375022685</v>
      </c>
      <c r="AF629" s="330">
        <v>0.96976002375022685</v>
      </c>
      <c r="AG629" s="330">
        <v>0.96876938032392534</v>
      </c>
      <c r="AH629" s="330">
        <v>0.96542103491589149</v>
      </c>
      <c r="AI629" s="330">
        <v>0.95910610150967712</v>
      </c>
      <c r="AJ629" s="330">
        <v>0.96113641193297916</v>
      </c>
      <c r="AK629" s="330">
        <v>0.9591413039488762</v>
      </c>
      <c r="AL629" s="330">
        <v>0.97326745292778805</v>
      </c>
      <c r="AM629" s="330">
        <v>0.97792336366603672</v>
      </c>
      <c r="AN629" s="330">
        <v>0.97068859062618651</v>
      </c>
      <c r="AO629" s="330">
        <v>0.95903570438271701</v>
      </c>
      <c r="AP629" s="330">
        <v>0.93516429684766356</v>
      </c>
      <c r="AQ629" s="330">
        <v>1.0848002827854366</v>
      </c>
      <c r="AR629" s="330">
        <v>1.068922224421136</v>
      </c>
      <c r="AS629" s="330">
        <v>1.0822354553542088</v>
      </c>
      <c r="AT629" s="330">
        <v>1.1204640124798777</v>
      </c>
      <c r="AU629" s="330">
        <v>1.1362088115512772</v>
      </c>
      <c r="AV629" s="330">
        <f ca="1">Calc!AP33</f>
        <v>1.1362088115512772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-1.78E-2</v>
      </c>
      <c r="G630" s="273">
        <v>4.1000000000000003E-3</v>
      </c>
      <c r="H630" s="273">
        <v>8.0000000000000002E-3</v>
      </c>
      <c r="I630" s="273">
        <v>-7.7999999999999996E-3</v>
      </c>
      <c r="J630" s="273">
        <v>-7.7999999999999996E-3</v>
      </c>
      <c r="K630" s="273">
        <v>-2.2800000000000001E-2</v>
      </c>
      <c r="L630" s="273">
        <v>-8.0600000000000005E-2</v>
      </c>
      <c r="M630" s="273">
        <v>-1.29E-2</v>
      </c>
      <c r="N630" s="273">
        <v>1.24E-2</v>
      </c>
      <c r="O630" s="273">
        <v>-1.1999999999999999E-3</v>
      </c>
      <c r="P630" s="273">
        <v>3.8E-3</v>
      </c>
      <c r="Q630" s="273">
        <v>-0.42749999999999999</v>
      </c>
      <c r="R630" s="273">
        <v>2.5000000000000001E-2</v>
      </c>
      <c r="S630" s="273">
        <v>-0.46</v>
      </c>
      <c r="T630" s="273">
        <v>-0.62</v>
      </c>
      <c r="U630" s="273">
        <v>0.36</v>
      </c>
      <c r="V630" s="273">
        <v>0.28000000000000003</v>
      </c>
      <c r="W630" s="273">
        <v>0.38</v>
      </c>
      <c r="X630" s="273">
        <v>0.02</v>
      </c>
      <c r="Y630" s="273">
        <v>-0.52500000000000002</v>
      </c>
      <c r="Z630" s="273">
        <f ca="1">[1]ExtEntry!$L34</f>
        <v>-0.52500000000000002</v>
      </c>
      <c r="AB630" s="330">
        <v>5.4110499335485107</v>
      </c>
      <c r="AC630" s="330">
        <v>5.2553936935275676</v>
      </c>
      <c r="AD630" s="330">
        <v>5.3773584905660377</v>
      </c>
      <c r="AE630" s="330">
        <v>5.5926216640502346</v>
      </c>
      <c r="AF630" s="330">
        <v>5.5926216640502346</v>
      </c>
      <c r="AG630" s="330">
        <v>5.8750773036487329</v>
      </c>
      <c r="AH630" s="330">
        <v>6.5713626931058338</v>
      </c>
      <c r="AI630" s="330">
        <v>6.784099024041895</v>
      </c>
      <c r="AJ630" s="330">
        <v>6.5895953757225438</v>
      </c>
      <c r="AK630" s="330">
        <v>6.6294487090020935</v>
      </c>
      <c r="AL630" s="330">
        <v>6.7090395480225986</v>
      </c>
      <c r="AM630" s="330">
        <v>6.7450375794950865</v>
      </c>
      <c r="AN630" s="330">
        <v>6.1825318940137395</v>
      </c>
      <c r="AO630" s="330">
        <v>6.8329718004338389</v>
      </c>
      <c r="AP630" s="330">
        <v>7.8947368421052628</v>
      </c>
      <c r="AQ630" s="330">
        <v>7.0786516853932584</v>
      </c>
      <c r="AR630" s="330">
        <v>6.6596194503171242</v>
      </c>
      <c r="AS630" s="330">
        <v>6.1643835616438354</v>
      </c>
      <c r="AT630" s="330">
        <v>6.1764705882352944</v>
      </c>
      <c r="AU630" s="330">
        <v>6.8852459016393439</v>
      </c>
      <c r="AV630" s="330">
        <f ca="1">Calc!AP34</f>
        <v>6.8852459016393439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-0.35720000000000002</v>
      </c>
      <c r="G631" s="273">
        <v>0.25</v>
      </c>
      <c r="H631" s="273">
        <v>-0.115</v>
      </c>
      <c r="I631" s="273">
        <v>-1.0549999999999999</v>
      </c>
      <c r="J631" s="273">
        <v>-1.0549999999999999</v>
      </c>
      <c r="K631" s="273">
        <v>0.57999999999999996</v>
      </c>
      <c r="L631" s="273">
        <v>-0.14000000000000001</v>
      </c>
      <c r="M631" s="273">
        <v>0.6</v>
      </c>
      <c r="N631" s="273">
        <v>-0.11</v>
      </c>
      <c r="O631" s="273">
        <v>-0.44500000000000001</v>
      </c>
      <c r="P631" s="273">
        <v>0.99</v>
      </c>
      <c r="Q631" s="273">
        <v>0.61499999999999999</v>
      </c>
      <c r="R631" s="273">
        <v>0.19650000000000001</v>
      </c>
      <c r="S631" s="273">
        <v>-0.26</v>
      </c>
      <c r="T631" s="273">
        <v>-0.46</v>
      </c>
      <c r="U631" s="273">
        <v>1.17</v>
      </c>
      <c r="V631" s="273">
        <v>-0.32</v>
      </c>
      <c r="W631" s="273">
        <v>0.86</v>
      </c>
      <c r="X631" s="273">
        <v>0.59119999999999995</v>
      </c>
      <c r="Y631" s="273">
        <v>-0.13</v>
      </c>
      <c r="Z631" s="273">
        <f ca="1">[1]ExtEntry!$L35</f>
        <v>-0.13</v>
      </c>
      <c r="AB631" s="330">
        <v>1.0450343100297736</v>
      </c>
      <c r="AC631" s="330">
        <v>1.0332438408085913</v>
      </c>
      <c r="AD631" s="330">
        <v>1.0383272496429139</v>
      </c>
      <c r="AE631" s="330">
        <v>1.0678145911539088</v>
      </c>
      <c r="AF631" s="330">
        <v>1.0678145911539088</v>
      </c>
      <c r="AG631" s="330">
        <v>1.0478058936579115</v>
      </c>
      <c r="AH631" s="330">
        <v>1.0065384615384616</v>
      </c>
      <c r="AI631" s="330">
        <v>0.98799456357595894</v>
      </c>
      <c r="AJ631" s="330">
        <v>0.99128787878787872</v>
      </c>
      <c r="AK631" s="330">
        <v>1.0048379665181999</v>
      </c>
      <c r="AL631" s="330">
        <v>0.96440153301886788</v>
      </c>
      <c r="AM631" s="330">
        <v>0.94722745041262491</v>
      </c>
      <c r="AN631" s="330">
        <v>0.94828460858347952</v>
      </c>
      <c r="AO631" s="330">
        <v>0.96100176263219739</v>
      </c>
      <c r="AP631" s="330">
        <v>0.97416617033948782</v>
      </c>
      <c r="AQ631" s="330">
        <v>1.0448700027956388</v>
      </c>
      <c r="AR631" s="330">
        <v>1.0548969799604855</v>
      </c>
      <c r="AS631" s="330">
        <v>1.0307501378929951</v>
      </c>
      <c r="AT631" s="330">
        <v>1.0147646560524772</v>
      </c>
      <c r="AU631" s="330">
        <v>1.0186699373126193</v>
      </c>
      <c r="AV631" s="330">
        <f ca="1">Calc!AP35</f>
        <v>1.0186699373126193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0.03</v>
      </c>
      <c r="G632" s="273">
        <v>-0.87990000000000002</v>
      </c>
      <c r="H632" s="273">
        <v>0.2301</v>
      </c>
      <c r="I632" s="273">
        <v>-0.17</v>
      </c>
      <c r="J632" s="273">
        <v>-0.17</v>
      </c>
      <c r="K632" s="273">
        <v>0.06</v>
      </c>
      <c r="L632" s="273">
        <v>-7.0000000000000007E-2</v>
      </c>
      <c r="M632" s="273">
        <v>-0.17</v>
      </c>
      <c r="N632" s="273">
        <v>1.4999999999999999E-2</v>
      </c>
      <c r="O632" s="273">
        <v>0.01</v>
      </c>
      <c r="P632" s="273">
        <v>-0.06</v>
      </c>
      <c r="Q632" s="273">
        <v>-1.6000000000000001E-3</v>
      </c>
      <c r="R632" s="273">
        <v>-0.02</v>
      </c>
      <c r="S632" s="273">
        <v>-0.14000000000000001</v>
      </c>
      <c r="T632" s="273">
        <v>0.06</v>
      </c>
      <c r="U632" s="273">
        <v>-0.01</v>
      </c>
      <c r="V632" s="273">
        <v>-0.03</v>
      </c>
      <c r="W632" s="273">
        <v>-0.21</v>
      </c>
      <c r="X632" s="273">
        <v>0.11</v>
      </c>
      <c r="Y632" s="273">
        <v>0.08</v>
      </c>
      <c r="Z632" s="273">
        <f ca="1">[1]ExtEntry!$L36</f>
        <v>0.08</v>
      </c>
      <c r="AB632" s="330">
        <v>2.2080291970802919</v>
      </c>
      <c r="AC632" s="330">
        <v>2.5965108044891738</v>
      </c>
      <c r="AD632" s="330">
        <v>2.7008325707015466</v>
      </c>
      <c r="AE632" s="330">
        <v>2.6419213973799125</v>
      </c>
      <c r="AF632" s="330">
        <v>2.6419213973799125</v>
      </c>
      <c r="AG632" s="330">
        <v>2.6077586206896552</v>
      </c>
      <c r="AH632" s="330">
        <v>2.5910064239828694</v>
      </c>
      <c r="AI632" s="330">
        <v>2.6888888888888887</v>
      </c>
      <c r="AJ632" s="330">
        <v>2.6769911504424782</v>
      </c>
      <c r="AK632" s="330">
        <v>2.6710816777041941</v>
      </c>
      <c r="AL632" s="330">
        <v>2.7069351230425056</v>
      </c>
      <c r="AM632" s="330">
        <v>2.7139781087385608</v>
      </c>
      <c r="AN632" s="330">
        <v>2.7008928571428568</v>
      </c>
      <c r="AO632" s="330">
        <v>2.7752293577981648</v>
      </c>
      <c r="AP632" s="330">
        <v>2.7375565610859729</v>
      </c>
      <c r="AQ632" s="330">
        <v>2.944038929440389</v>
      </c>
      <c r="AR632" s="330">
        <v>2.9656862745098036</v>
      </c>
      <c r="AS632" s="330">
        <v>3.126614987080103</v>
      </c>
      <c r="AT632" s="330">
        <v>3.0402010050251254</v>
      </c>
      <c r="AU632" s="330">
        <v>2.995049504950495</v>
      </c>
      <c r="AV632" s="330">
        <f ca="1">Calc!AP36</f>
        <v>2.995049504950495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-0.25</v>
      </c>
      <c r="G633" s="273">
        <v>-2.5000000000000001E-2</v>
      </c>
      <c r="H633" s="273">
        <v>-0.14499999999999999</v>
      </c>
      <c r="I633" s="273">
        <v>-0.15989999999999999</v>
      </c>
      <c r="J633" s="273">
        <v>-0.15989999999999999</v>
      </c>
      <c r="K633" s="273">
        <v>0.04</v>
      </c>
      <c r="L633" s="273">
        <v>0.01</v>
      </c>
      <c r="M633" s="273">
        <v>7.0000000000000007E-2</v>
      </c>
      <c r="N633" s="273">
        <v>-0.04</v>
      </c>
      <c r="O633" s="273">
        <v>0.1081</v>
      </c>
      <c r="P633" s="273">
        <v>-0.28999999999999998</v>
      </c>
      <c r="Q633" s="273">
        <v>-0.25</v>
      </c>
      <c r="R633" s="273">
        <v>-8.9899999999999994E-2</v>
      </c>
      <c r="S633" s="273">
        <v>-0.18</v>
      </c>
      <c r="T633" s="273">
        <v>0.13500000000000001</v>
      </c>
      <c r="U633" s="273">
        <v>7.0000000000000007E-2</v>
      </c>
      <c r="V633" s="273">
        <v>-0.02</v>
      </c>
      <c r="W633" s="273">
        <v>0.27</v>
      </c>
      <c r="X633" s="273">
        <v>-0.255</v>
      </c>
      <c r="Y633" s="273">
        <v>-0.09</v>
      </c>
      <c r="Z633" s="273">
        <f ca="1">[1]ExtEntry!$L37</f>
        <v>-0.09</v>
      </c>
      <c r="AB633" s="330">
        <v>1.3346740442655936</v>
      </c>
      <c r="AC633" s="330">
        <v>1.3096406712734452</v>
      </c>
      <c r="AD633" s="330">
        <v>1.355123595505618</v>
      </c>
      <c r="AE633" s="330">
        <v>1.3537131895267442</v>
      </c>
      <c r="AF633" s="330">
        <v>1.3537131895267442</v>
      </c>
      <c r="AG633" s="330">
        <v>1.3427793522267206</v>
      </c>
      <c r="AH633" s="330">
        <v>1.2398747663551402</v>
      </c>
      <c r="AI633" s="330">
        <v>1.2238616236162361</v>
      </c>
      <c r="AJ633" s="330">
        <v>1.232960966542751</v>
      </c>
      <c r="AK633" s="330">
        <v>1.2086751334706001</v>
      </c>
      <c r="AL633" s="330">
        <v>1.2375615671641791</v>
      </c>
      <c r="AM633" s="330">
        <v>1.2981076320939333</v>
      </c>
      <c r="AN633" s="330">
        <v>1.2731675015834629</v>
      </c>
      <c r="AO633" s="330">
        <v>1.2955722656249999</v>
      </c>
      <c r="AP633" s="330">
        <v>1.2622892483349191</v>
      </c>
      <c r="AQ633" s="330">
        <v>1.2398747663551402</v>
      </c>
      <c r="AR633" s="330">
        <v>1.2445272045028142</v>
      </c>
      <c r="AS633" s="330">
        <v>1.1845232142857143</v>
      </c>
      <c r="AT633" s="330">
        <v>1.2410346117867166</v>
      </c>
      <c r="AU633" s="330">
        <v>1.2659026717557251</v>
      </c>
      <c r="AV633" s="330">
        <f ca="1">Calc!AP37</f>
        <v>1.2659026717557251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7.0000000000000007E-2</v>
      </c>
      <c r="G634" s="273">
        <v>-7.4999999999999997E-2</v>
      </c>
      <c r="H634" s="273">
        <v>4.9099999999999998E-2</v>
      </c>
      <c r="I634" s="273">
        <v>1E-4</v>
      </c>
      <c r="J634" s="273">
        <v>1E-4</v>
      </c>
      <c r="K634" s="273">
        <v>0.12970000000000001</v>
      </c>
      <c r="L634" s="273">
        <v>-5.9900000000000002E-2</v>
      </c>
      <c r="M634" s="273">
        <v>0.01</v>
      </c>
      <c r="N634" s="273">
        <v>0.17</v>
      </c>
      <c r="O634" s="273">
        <v>9.5000000000000001E-2</v>
      </c>
      <c r="P634" s="273">
        <v>-2.5000000000000001E-2</v>
      </c>
      <c r="Q634" s="273">
        <v>-0.08</v>
      </c>
      <c r="R634" s="273">
        <v>-9.4100000000000003E-2</v>
      </c>
      <c r="S634" s="273">
        <v>-8.6599999999999996E-2</v>
      </c>
      <c r="T634" s="273">
        <v>-9.1200000000000003E-2</v>
      </c>
      <c r="U634" s="273">
        <v>-0.02</v>
      </c>
      <c r="V634" s="273">
        <v>1E-4</v>
      </c>
      <c r="W634" s="273">
        <v>2.9899999999999999E-2</v>
      </c>
      <c r="X634" s="273">
        <v>0.04</v>
      </c>
      <c r="Y634" s="273">
        <v>0.01</v>
      </c>
      <c r="Z634" s="273">
        <f ca="1">[1]ExtEntry!$L38</f>
        <v>0.01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1.08</v>
      </c>
      <c r="G635" s="273">
        <v>0.52</v>
      </c>
      <c r="H635" s="273">
        <v>1.1599999999999999</v>
      </c>
      <c r="I635" s="273">
        <v>-0.71</v>
      </c>
      <c r="J635" s="273">
        <v>-0.71</v>
      </c>
      <c r="K635" s="273">
        <v>2.42</v>
      </c>
      <c r="L635" s="273">
        <v>-0.76</v>
      </c>
      <c r="M635" s="273">
        <v>0.88</v>
      </c>
      <c r="N635" s="273">
        <v>-1.89</v>
      </c>
      <c r="O635" s="273">
        <v>0.46</v>
      </c>
      <c r="P635" s="273">
        <v>-0.46</v>
      </c>
      <c r="Q635" s="273">
        <v>6.0199999999999997E-2</v>
      </c>
      <c r="R635" s="273">
        <v>0.86</v>
      </c>
      <c r="S635" s="273">
        <v>1.1499999999999999</v>
      </c>
      <c r="T635" s="273">
        <v>0.52</v>
      </c>
      <c r="U635" s="273">
        <v>-0.47</v>
      </c>
      <c r="V635" s="273">
        <v>-4.9400000000000004</v>
      </c>
      <c r="W635" s="273">
        <v>0.55000000000000004</v>
      </c>
      <c r="X635" s="273">
        <v>1.3236000000000001</v>
      </c>
      <c r="Y635" s="273">
        <v>0.14000000000000001</v>
      </c>
      <c r="Z635" s="273">
        <f ca="1">[1]ExtEntry!$L39</f>
        <v>0.14000000000000001</v>
      </c>
      <c r="AB635" s="330">
        <v>1.0177907594264473</v>
      </c>
      <c r="AC635" s="330">
        <v>0.99791720906014059</v>
      </c>
      <c r="AD635" s="330">
        <v>0.94246373248094406</v>
      </c>
      <c r="AE635" s="330">
        <v>0.97383130081300806</v>
      </c>
      <c r="AF635" s="330">
        <v>0.97383130081300806</v>
      </c>
      <c r="AG635" s="330">
        <v>0.92674081237911021</v>
      </c>
      <c r="AH635" s="330">
        <v>0.94084437898870876</v>
      </c>
      <c r="AI635" s="330">
        <v>0.92095146564151853</v>
      </c>
      <c r="AJ635" s="330">
        <v>0.96476214447520769</v>
      </c>
      <c r="AK635" s="330">
        <v>0.9537198308036825</v>
      </c>
      <c r="AL635" s="330">
        <v>0.98661518661518655</v>
      </c>
      <c r="AM635" s="330">
        <v>0.98508874279751824</v>
      </c>
      <c r="AN635" s="330">
        <v>0.97482197355035605</v>
      </c>
      <c r="AO635" s="330">
        <v>0.96768492804847261</v>
      </c>
      <c r="AP635" s="330">
        <v>0.95514577622726127</v>
      </c>
      <c r="AQ635" s="330">
        <v>0.93785172498164915</v>
      </c>
      <c r="AR635" s="330">
        <v>1.0667965488449762</v>
      </c>
      <c r="AS635" s="330">
        <v>1.0507127192982457</v>
      </c>
      <c r="AT635" s="330">
        <v>1.0139245997735664</v>
      </c>
      <c r="AU635" s="330">
        <v>1.0097471022128555</v>
      </c>
      <c r="AV635" s="330">
        <f ca="1">Calc!AP39</f>
        <v>1.0097471022128555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-0.89</v>
      </c>
      <c r="G636" s="273">
        <v>0.46</v>
      </c>
      <c r="H636" s="273">
        <v>0.37</v>
      </c>
      <c r="I636" s="273">
        <v>7.0000000000000007E-2</v>
      </c>
      <c r="J636" s="273">
        <v>7.0000000000000007E-2</v>
      </c>
      <c r="K636" s="273">
        <v>0.11</v>
      </c>
      <c r="L636" s="273">
        <v>-0.37</v>
      </c>
      <c r="M636" s="273">
        <v>-0.35</v>
      </c>
      <c r="N636" s="273">
        <v>-0.08</v>
      </c>
      <c r="O636" s="273">
        <v>-0.31</v>
      </c>
      <c r="P636" s="273">
        <v>0.32</v>
      </c>
      <c r="Q636" s="273">
        <v>-0.48</v>
      </c>
      <c r="R636" s="273">
        <v>-0.08</v>
      </c>
      <c r="S636" s="273">
        <v>0.79</v>
      </c>
      <c r="T636" s="273">
        <v>0.25</v>
      </c>
      <c r="U636" s="273">
        <v>0.8</v>
      </c>
      <c r="V636" s="273">
        <v>-0.11</v>
      </c>
      <c r="W636" s="273">
        <v>0.15</v>
      </c>
      <c r="X636" s="273">
        <v>-0.11</v>
      </c>
      <c r="Y636" s="273">
        <v>0.18</v>
      </c>
      <c r="Z636" s="273">
        <f ca="1">[1]ExtEntry!$L40</f>
        <v>0.18</v>
      </c>
      <c r="AB636" s="330">
        <v>1.2246963562753037</v>
      </c>
      <c r="AC636" s="330">
        <v>1.2086187214611872</v>
      </c>
      <c r="AD636" s="330">
        <v>1.203125</v>
      </c>
      <c r="AE636" s="330">
        <v>1.2010777084515032</v>
      </c>
      <c r="AF636" s="330">
        <v>1.2010777084515032</v>
      </c>
      <c r="AG636" s="330">
        <v>1.1973423805484875</v>
      </c>
      <c r="AH636" s="330">
        <v>1.198019801980198</v>
      </c>
      <c r="AI636" s="330">
        <v>1.21</v>
      </c>
      <c r="AJ636" s="330">
        <v>1.2127720504009163</v>
      </c>
      <c r="AK636" s="330">
        <v>1.223634787633632</v>
      </c>
      <c r="AL636" s="330">
        <v>1.2254050925925926</v>
      </c>
      <c r="AM636" s="330">
        <v>1.2507383343177791</v>
      </c>
      <c r="AN636" s="330">
        <v>1.2511078286558346</v>
      </c>
      <c r="AO636" s="330">
        <v>1.2180040264595915</v>
      </c>
      <c r="AP636" s="330">
        <v>1.2131194500143228</v>
      </c>
      <c r="AQ636" s="330">
        <v>1.1979651032942491</v>
      </c>
      <c r="AR636" s="330">
        <v>1.201655278633436</v>
      </c>
      <c r="AS636" s="330">
        <v>1.1966288343558282</v>
      </c>
      <c r="AT636" s="330">
        <v>1.2003107692307693</v>
      </c>
      <c r="AU636" s="330">
        <v>1.1942975229613138</v>
      </c>
      <c r="AV636" s="330">
        <f ca="1">Calc!AP40</f>
        <v>1.1942975229613138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0.65</v>
      </c>
      <c r="G637" s="273">
        <v>-0.95</v>
      </c>
      <c r="H637" s="273">
        <v>-0.55000000000000004</v>
      </c>
      <c r="I637" s="273">
        <v>0.25</v>
      </c>
      <c r="J637" s="273">
        <v>0.25</v>
      </c>
      <c r="K637" s="273">
        <v>-3.15</v>
      </c>
      <c r="L637" s="273">
        <v>0.4</v>
      </c>
      <c r="M637" s="273">
        <v>-1.1499999999999999</v>
      </c>
      <c r="N637" s="273">
        <v>4.55</v>
      </c>
      <c r="O637" s="273">
        <v>-0.05</v>
      </c>
      <c r="P637" s="273">
        <v>1.75</v>
      </c>
      <c r="Q637" s="273">
        <v>-6.1</v>
      </c>
      <c r="R637" s="273">
        <v>3.2</v>
      </c>
      <c r="S637" s="273">
        <v>3.05</v>
      </c>
      <c r="T637" s="273">
        <v>-1.1000000000000001</v>
      </c>
      <c r="U637" s="273">
        <v>2.2000000000000002</v>
      </c>
      <c r="V637" s="273">
        <v>-0.15</v>
      </c>
      <c r="W637" s="273">
        <v>-6.6</v>
      </c>
      <c r="X637" s="273">
        <v>-3.9</v>
      </c>
      <c r="Y637" s="273">
        <v>1.1000000000000001</v>
      </c>
      <c r="Z637" s="273">
        <f ca="1">[1]ExtEntry!$L41</f>
        <v>1.1000000000000001</v>
      </c>
      <c r="AB637" s="330">
        <v>1.1967773002295012</v>
      </c>
      <c r="AC637" s="330">
        <v>1.2015403435274403</v>
      </c>
      <c r="AD637" s="330">
        <v>1.2129739056883062</v>
      </c>
      <c r="AE637" s="330">
        <v>1.2106698184888138</v>
      </c>
      <c r="AF637" s="330">
        <v>1.2106698184888138</v>
      </c>
      <c r="AG637" s="330">
        <v>1.2269847272727272</v>
      </c>
      <c r="AH637" s="330">
        <v>1.2309342489270387</v>
      </c>
      <c r="AI637" s="330">
        <v>1.2370398102221265</v>
      </c>
      <c r="AJ637" s="330">
        <v>1.2132304568527918</v>
      </c>
      <c r="AK637" s="330">
        <v>1.2134871165644172</v>
      </c>
      <c r="AL637" s="330">
        <v>1.2285614906832298</v>
      </c>
      <c r="AM637" s="330">
        <v>1.2590328358208955</v>
      </c>
      <c r="AN637" s="330">
        <v>1.2445549142981125</v>
      </c>
      <c r="AO637" s="330">
        <v>1.2235822525597269</v>
      </c>
      <c r="AP637" s="330">
        <v>1.2357073675140027</v>
      </c>
      <c r="AQ637" s="330">
        <v>1.2666972011282274</v>
      </c>
      <c r="AR637" s="330">
        <v>1.2675222318714718</v>
      </c>
      <c r="AS637" s="330">
        <v>1.3049189539561914</v>
      </c>
      <c r="AT637" s="330">
        <v>1.3280726569608734</v>
      </c>
      <c r="AU637" s="330">
        <v>1.3214593481213219</v>
      </c>
      <c r="AV637" s="330">
        <f ca="1">Calc!AP41</f>
        <v>1.3214593481213219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9.5000000000000001E-2</v>
      </c>
      <c r="G638" s="273">
        <v>0.27</v>
      </c>
      <c r="H638" s="273">
        <v>-0.02</v>
      </c>
      <c r="I638" s="273">
        <v>-0.04</v>
      </c>
      <c r="J638" s="273">
        <v>-0.04</v>
      </c>
      <c r="K638" s="273">
        <v>0.01</v>
      </c>
      <c r="L638" s="273">
        <v>7.0000000000000007E-2</v>
      </c>
      <c r="M638" s="273">
        <v>0.13</v>
      </c>
      <c r="N638" s="273">
        <v>-0.17</v>
      </c>
      <c r="O638" s="273">
        <v>0.11</v>
      </c>
      <c r="P638" s="273">
        <v>-0.4</v>
      </c>
      <c r="Q638" s="273">
        <v>-0.19</v>
      </c>
      <c r="R638" s="273">
        <v>-8.7999999999999995E-2</v>
      </c>
      <c r="S638" s="273">
        <v>2E-3</v>
      </c>
      <c r="T638" s="273">
        <v>-0.22</v>
      </c>
      <c r="U638" s="273">
        <v>0.28000000000000003</v>
      </c>
      <c r="V638" s="273">
        <v>-0.2</v>
      </c>
      <c r="W638" s="273">
        <v>-0.01</v>
      </c>
      <c r="X638" s="273">
        <v>0.16500000000000001</v>
      </c>
      <c r="Y638" s="273">
        <v>-0.21</v>
      </c>
      <c r="Z638" s="273">
        <f ca="1">[1]ExtEntry!$L42</f>
        <v>-0.21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-0.86</v>
      </c>
      <c r="G639" s="273">
        <v>8.9700000000000002E-2</v>
      </c>
      <c r="H639" s="273">
        <v>-0.12</v>
      </c>
      <c r="I639" s="273">
        <v>1.29</v>
      </c>
      <c r="J639" s="273">
        <v>1.29</v>
      </c>
      <c r="K639" s="273">
        <v>-0.28999999999999998</v>
      </c>
      <c r="L639" s="273">
        <v>-0.16</v>
      </c>
      <c r="M639" s="273">
        <v>-0.17</v>
      </c>
      <c r="N639" s="273">
        <v>0.28999999999999998</v>
      </c>
      <c r="O639" s="273">
        <v>0.11</v>
      </c>
      <c r="P639" s="273">
        <v>-0.57999999999999996</v>
      </c>
      <c r="Q639" s="273">
        <v>-0.39</v>
      </c>
      <c r="R639" s="273">
        <v>-0.08</v>
      </c>
      <c r="S639" s="273">
        <v>-0.23</v>
      </c>
      <c r="T639" s="273">
        <v>0.04</v>
      </c>
      <c r="U639" s="273">
        <v>0.06</v>
      </c>
      <c r="V639" s="273">
        <v>-0.18</v>
      </c>
      <c r="W639" s="273">
        <v>-0.32</v>
      </c>
      <c r="X639" s="273">
        <v>6.5000000000000002E-2</v>
      </c>
      <c r="Y639" s="273">
        <v>-0.04</v>
      </c>
      <c r="Z639" s="273">
        <f ca="1">[1]ExtEntry!$L43</f>
        <v>-0.04</v>
      </c>
      <c r="AB639" s="330">
        <v>1.6757737704918032</v>
      </c>
      <c r="AC639" s="330">
        <v>1.6470272941125923</v>
      </c>
      <c r="AD639" s="330">
        <v>1.6522984913793104</v>
      </c>
      <c r="AE639" s="330">
        <v>1.4451771913289351</v>
      </c>
      <c r="AF639" s="330">
        <v>1.4451771913289351</v>
      </c>
      <c r="AG639" s="330">
        <v>1.4857877906976744</v>
      </c>
      <c r="AH639" s="330">
        <v>1.404151098901099</v>
      </c>
      <c r="AI639" s="330">
        <v>1.4263562790697675</v>
      </c>
      <c r="AJ639" s="330">
        <v>1.388888586956522</v>
      </c>
      <c r="AK639" s="330">
        <v>1.3751865470852018</v>
      </c>
      <c r="AL639" s="330">
        <v>1.4397492957746478</v>
      </c>
      <c r="AM639" s="330">
        <v>1.4944766081871346</v>
      </c>
      <c r="AN639" s="330">
        <v>1.4901195335276969</v>
      </c>
      <c r="AO639" s="330">
        <v>1.512162721893491</v>
      </c>
      <c r="AP639" s="330">
        <v>1.5062210216110019</v>
      </c>
      <c r="AQ639" s="330">
        <v>1.294498058252427</v>
      </c>
      <c r="AR639" s="330">
        <v>1.3175227272727275</v>
      </c>
      <c r="AS639" s="330">
        <v>1.3605438775510204</v>
      </c>
      <c r="AT639" s="330">
        <v>1.3515793208312215</v>
      </c>
      <c r="AU639" s="330">
        <v>1.3591569826707441</v>
      </c>
      <c r="AV639" s="330">
        <f ca="1">Calc!AP43</f>
        <v>1.3591569826707441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-8.0050000000000008</v>
      </c>
      <c r="G640" s="273">
        <v>-2.2749999999999999</v>
      </c>
      <c r="H640" s="273">
        <v>2.1858</v>
      </c>
      <c r="I640" s="273">
        <v>-5.3768000000000002</v>
      </c>
      <c r="J640" s="273">
        <v>-5.3768000000000002</v>
      </c>
      <c r="K640" s="273">
        <v>-5.41</v>
      </c>
      <c r="L640" s="273">
        <v>6.59</v>
      </c>
      <c r="M640" s="273">
        <v>5.07</v>
      </c>
      <c r="N640" s="273">
        <v>-2.0699999999999998</v>
      </c>
      <c r="O640" s="273">
        <v>-4.6219999999999999</v>
      </c>
      <c r="P640" s="273">
        <v>-12.11</v>
      </c>
      <c r="Q640" s="273">
        <v>-6.1368</v>
      </c>
      <c r="R640" s="273">
        <v>2.95</v>
      </c>
      <c r="S640" s="273">
        <v>4.7300000000000004</v>
      </c>
      <c r="T640" s="273">
        <v>4.4400000000000004</v>
      </c>
      <c r="U640" s="273">
        <v>-4.4400000000000004</v>
      </c>
      <c r="V640" s="273">
        <v>0.56999999999999995</v>
      </c>
      <c r="W640" s="273">
        <v>0.82</v>
      </c>
      <c r="X640" s="273">
        <v>20.62</v>
      </c>
      <c r="Y640" s="273">
        <v>27.13</v>
      </c>
      <c r="Z640" s="273">
        <f ca="1">[1]ExtEntry!$L44</f>
        <v>27.13</v>
      </c>
      <c r="AB640" s="330">
        <v>0.92364155413051685</v>
      </c>
      <c r="AC640" s="330">
        <v>0.91829321492326854</v>
      </c>
      <c r="AD640" s="330">
        <v>0.91983646375100769</v>
      </c>
      <c r="AE640" s="330">
        <v>0.92809979404651299</v>
      </c>
      <c r="AF640" s="330">
        <v>0.92809979404651299</v>
      </c>
      <c r="AG640" s="330">
        <v>0.94495745600493997</v>
      </c>
      <c r="AH640" s="330">
        <v>0.88306901327178311</v>
      </c>
      <c r="AI640" s="330">
        <v>0.87033787357465808</v>
      </c>
      <c r="AJ640" s="330">
        <v>0.87549118993135011</v>
      </c>
      <c r="AK640" s="330">
        <v>0.88722098220756107</v>
      </c>
      <c r="AL640" s="330">
        <v>0.916739209872106</v>
      </c>
      <c r="AM640" s="330">
        <v>0.9339051399125875</v>
      </c>
      <c r="AN640" s="330">
        <v>0.92104276127712081</v>
      </c>
      <c r="AO640" s="330">
        <v>0.91613553234158474</v>
      </c>
      <c r="AP640" s="330">
        <v>0.90411993028682847</v>
      </c>
      <c r="AQ640" s="330">
        <v>0.89646102771362601</v>
      </c>
      <c r="AR640" s="330">
        <v>0.89498832752111135</v>
      </c>
      <c r="AS640" s="330">
        <v>0.89287817361051214</v>
      </c>
      <c r="AT640" s="330">
        <v>0.8429035585353275</v>
      </c>
      <c r="AU640" s="330">
        <v>0.78429585290700621</v>
      </c>
      <c r="AV640" s="330">
        <f ca="1">Calc!AP44</f>
        <v>0.78429585290700621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-1.56</v>
      </c>
      <c r="G641" s="273">
        <v>-1.7687999999999999</v>
      </c>
      <c r="H641" s="273">
        <v>2.0575000000000001</v>
      </c>
      <c r="I641" s="273">
        <v>-7.42</v>
      </c>
      <c r="J641" s="273">
        <v>-7.42</v>
      </c>
      <c r="K641" s="273">
        <v>-3.96</v>
      </c>
      <c r="L641" s="273">
        <v>2.63</v>
      </c>
      <c r="M641" s="273">
        <v>2.93</v>
      </c>
      <c r="N641" s="273">
        <v>0.54</v>
      </c>
      <c r="O641" s="273">
        <v>-1.24</v>
      </c>
      <c r="P641" s="273">
        <v>-7.4</v>
      </c>
      <c r="Q641" s="273">
        <v>-4.0650000000000004</v>
      </c>
      <c r="R641" s="273">
        <v>1.83</v>
      </c>
      <c r="S641" s="273">
        <v>3</v>
      </c>
      <c r="T641" s="273">
        <v>3.82</v>
      </c>
      <c r="U641" s="273">
        <v>3.77</v>
      </c>
      <c r="V641" s="273">
        <v>3.69</v>
      </c>
      <c r="W641" s="273">
        <v>9.5</v>
      </c>
      <c r="X641" s="273">
        <v>-1.63</v>
      </c>
      <c r="Y641" s="273">
        <v>0.47</v>
      </c>
      <c r="Z641" s="273">
        <f ca="1">[1]ExtEntry!$L45</f>
        <v>0.47</v>
      </c>
      <c r="AB641" s="330">
        <v>1.1245622811405702</v>
      </c>
      <c r="AC641" s="330">
        <v>1.1276121174830038</v>
      </c>
      <c r="AD641" s="330">
        <v>1.1196264591439689</v>
      </c>
      <c r="AE641" s="330">
        <v>1.1528697807598614</v>
      </c>
      <c r="AF641" s="330">
        <v>1.1528697807598614</v>
      </c>
      <c r="AG641" s="330">
        <v>1.1793302439450903</v>
      </c>
      <c r="AH641" s="330">
        <v>1.1448943213649094</v>
      </c>
      <c r="AI641" s="330">
        <v>1.1309743417742746</v>
      </c>
      <c r="AJ641" s="330">
        <v>1.1274763855220262</v>
      </c>
      <c r="AK641" s="330">
        <v>1.1332073093887838</v>
      </c>
      <c r="AL641" s="330">
        <v>1.1684497769307403</v>
      </c>
      <c r="AM641" s="330">
        <v>1.1893917682590771</v>
      </c>
      <c r="AN641" s="330">
        <v>1.1717487620536877</v>
      </c>
      <c r="AO641" s="330">
        <v>1.1658239336185661</v>
      </c>
      <c r="AP641" s="330">
        <v>1.1468900131797117</v>
      </c>
      <c r="AQ641" s="330">
        <v>1.0913504328829193</v>
      </c>
      <c r="AR641" s="330">
        <v>1.0752551020408163</v>
      </c>
      <c r="AS641" s="330">
        <v>1.0358651409261961</v>
      </c>
      <c r="AT641" s="330">
        <v>1.0423090297901936</v>
      </c>
      <c r="AU641" s="330">
        <v>1.0400185056673605</v>
      </c>
      <c r="AV641" s="330">
        <f ca="1">Calc!AP45</f>
        <v>1.0400185056673605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</v>
      </c>
      <c r="G642" s="273">
        <v>0.75</v>
      </c>
      <c r="H642" s="273">
        <v>-0.65</v>
      </c>
      <c r="I642" s="273">
        <v>-0.25</v>
      </c>
      <c r="J642" s="273">
        <v>-0.25</v>
      </c>
      <c r="K642" s="273">
        <v>0.1</v>
      </c>
      <c r="L642" s="273">
        <v>1.05</v>
      </c>
      <c r="M642" s="273">
        <v>-1</v>
      </c>
      <c r="N642" s="273">
        <v>-0.4</v>
      </c>
      <c r="O642" s="273">
        <v>0.6</v>
      </c>
      <c r="P642" s="273">
        <v>-0.65</v>
      </c>
      <c r="Q642" s="273">
        <v>-1.25</v>
      </c>
      <c r="R642" s="273">
        <v>0.5</v>
      </c>
      <c r="S642" s="273">
        <v>0.25</v>
      </c>
      <c r="T642" s="273">
        <v>0.8</v>
      </c>
      <c r="U642" s="273">
        <v>-0.25</v>
      </c>
      <c r="V642" s="273">
        <v>0.4</v>
      </c>
      <c r="W642" s="273">
        <v>0.65</v>
      </c>
      <c r="X642" s="273">
        <v>-0.9</v>
      </c>
      <c r="Y642" s="273">
        <v>0.9</v>
      </c>
      <c r="Z642" s="273">
        <f ca="1">[1]ExtEntry!$L46</f>
        <v>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-0.22</v>
      </c>
      <c r="G643" s="273">
        <v>-0.245</v>
      </c>
      <c r="H643" s="273">
        <v>-0.16500000000000001</v>
      </c>
      <c r="I643" s="273">
        <v>-0.05</v>
      </c>
      <c r="J643" s="273">
        <v>-0.05</v>
      </c>
      <c r="K643" s="273">
        <v>-0.15</v>
      </c>
      <c r="L643" s="273">
        <v>-0.05</v>
      </c>
      <c r="M643" s="273">
        <v>0.21</v>
      </c>
      <c r="N643" s="273">
        <v>0.14000000000000001</v>
      </c>
      <c r="O643" s="273">
        <v>0.17</v>
      </c>
      <c r="P643" s="273">
        <v>-0.28999999999999998</v>
      </c>
      <c r="Q643" s="273">
        <v>-0.255</v>
      </c>
      <c r="R643" s="273">
        <v>0.155</v>
      </c>
      <c r="S643" s="273">
        <v>0.2</v>
      </c>
      <c r="T643" s="273">
        <v>0.22</v>
      </c>
      <c r="U643" s="273">
        <v>0.80500000000000005</v>
      </c>
      <c r="V643" s="273">
        <v>-0.12</v>
      </c>
      <c r="W643" s="273">
        <v>-0.28999999999999998</v>
      </c>
      <c r="X643" s="273">
        <v>0.28499999999999998</v>
      </c>
      <c r="Y643" s="273">
        <v>-0.17</v>
      </c>
      <c r="Z643" s="273">
        <f ca="1">[1]ExtEntry!$L47</f>
        <v>-0.17</v>
      </c>
      <c r="AB643" s="330">
        <v>0.8816447166921898</v>
      </c>
      <c r="AC643" s="330">
        <v>0.93082295877122068</v>
      </c>
      <c r="AD643" s="330">
        <v>0.92782272360999185</v>
      </c>
      <c r="AE643" s="330">
        <v>0.92857096774193537</v>
      </c>
      <c r="AF643" s="330">
        <v>0.92857096774193537</v>
      </c>
      <c r="AG643" s="330">
        <v>0.94379344262295084</v>
      </c>
      <c r="AH643" s="330">
        <v>0.91674203821656042</v>
      </c>
      <c r="AI643" s="330">
        <v>0.88707858243451454</v>
      </c>
      <c r="AJ643" s="330">
        <v>0.86834690799396674</v>
      </c>
      <c r="AK643" s="330">
        <v>0.84663823529411764</v>
      </c>
      <c r="AL643" s="330">
        <v>0.913831746031746</v>
      </c>
      <c r="AM643" s="330">
        <v>0.95238047973531836</v>
      </c>
      <c r="AN643" s="330">
        <v>0.9619281537176273</v>
      </c>
      <c r="AO643" s="330">
        <v>0.95474958540630173</v>
      </c>
      <c r="AP643" s="330">
        <v>0.92114239999999992</v>
      </c>
      <c r="AQ643" s="330">
        <v>1.1387536231884059</v>
      </c>
      <c r="AR643" s="330">
        <v>1.1555000000000002</v>
      </c>
      <c r="AS643" s="330">
        <v>1.2044189781021899</v>
      </c>
      <c r="AT643" s="330">
        <v>1.1563097407147864</v>
      </c>
      <c r="AU643" s="330">
        <v>1.188799711815562</v>
      </c>
      <c r="AV643" s="330">
        <f ca="1">Calc!AP47</f>
        <v>1.188799711815562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0.5</v>
      </c>
      <c r="G644" s="273">
        <v>-5.62</v>
      </c>
      <c r="H644" s="273">
        <v>-3.8195000000000001</v>
      </c>
      <c r="I644" s="273">
        <v>-11.5</v>
      </c>
      <c r="J644" s="273">
        <v>-11.5</v>
      </c>
      <c r="K644" s="273">
        <v>-3.74</v>
      </c>
      <c r="L644" s="273">
        <v>0.23</v>
      </c>
      <c r="M644" s="273">
        <v>3.78</v>
      </c>
      <c r="N644" s="273">
        <v>2.2926000000000002</v>
      </c>
      <c r="O644" s="273">
        <v>8.18</v>
      </c>
      <c r="P644" s="273">
        <v>-11.26</v>
      </c>
      <c r="Q644" s="273">
        <v>-3.0299</v>
      </c>
      <c r="R644" s="273">
        <v>1.2</v>
      </c>
      <c r="S644" s="273">
        <v>4.1500000000000004</v>
      </c>
      <c r="T644" s="273">
        <v>3.71</v>
      </c>
      <c r="U644" s="273">
        <v>10.76</v>
      </c>
      <c r="V644" s="273">
        <v>-8.98</v>
      </c>
      <c r="W644" s="273">
        <v>32.9</v>
      </c>
      <c r="X644" s="273">
        <v>-9.99</v>
      </c>
      <c r="Y644" s="273">
        <v>0.24</v>
      </c>
      <c r="Z644" s="273">
        <f ca="1">[1]ExtEntry!$L48</f>
        <v>0.24</v>
      </c>
      <c r="AB644" s="330">
        <v>0.9249773571497788</v>
      </c>
      <c r="AC644" s="330">
        <v>0.93702346127417291</v>
      </c>
      <c r="AD644" s="330">
        <v>0.94659284246852682</v>
      </c>
      <c r="AE644" s="330">
        <v>0.97316570379936118</v>
      </c>
      <c r="AF644" s="330">
        <v>0.97316570379936118</v>
      </c>
      <c r="AG644" s="330">
        <v>0.98349328570937933</v>
      </c>
      <c r="AH644" s="330">
        <v>0.97326492879719939</v>
      </c>
      <c r="AI644" s="330">
        <v>0.96091990201671085</v>
      </c>
      <c r="AJ644" s="330">
        <v>0.95358395165409826</v>
      </c>
      <c r="AK644" s="330">
        <v>0.92845618130532048</v>
      </c>
      <c r="AL644" s="330">
        <v>0.9629232321194392</v>
      </c>
      <c r="AM644" s="330">
        <v>0.97283476938620428</v>
      </c>
      <c r="AN644" s="330">
        <v>0.95633095110873634</v>
      </c>
      <c r="AO644" s="330">
        <v>0.94700135586494272</v>
      </c>
      <c r="AP644" s="330">
        <v>0.93552348905586402</v>
      </c>
      <c r="AQ644" s="330">
        <v>1.0272240705916391</v>
      </c>
      <c r="AR644" s="330">
        <v>1.0546232215522617</v>
      </c>
      <c r="AS644" s="330">
        <v>0.96073815515328631</v>
      </c>
      <c r="AT644" s="330">
        <v>0.98742977918682917</v>
      </c>
      <c r="AU644" s="330">
        <v>0.98663406230027506</v>
      </c>
      <c r="AV644" s="330">
        <f ca="1">Calc!AP48</f>
        <v>0.98663406230027506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-1.4999999999999999E-2</v>
      </c>
      <c r="G645" s="273">
        <v>0.17499999999999999</v>
      </c>
      <c r="H645" s="273">
        <v>-0.47199999999999998</v>
      </c>
      <c r="I645" s="273">
        <v>0.58250000000000002</v>
      </c>
      <c r="J645" s="273">
        <v>0.58250000000000002</v>
      </c>
      <c r="K645" s="273">
        <v>0.05</v>
      </c>
      <c r="L645" s="273">
        <v>-0.73</v>
      </c>
      <c r="M645" s="273">
        <v>0.06</v>
      </c>
      <c r="N645" s="273">
        <v>-0.32</v>
      </c>
      <c r="O645" s="273">
        <v>0.155</v>
      </c>
      <c r="P645" s="273">
        <v>-6.6000000000000003E-2</v>
      </c>
      <c r="Q645" s="273">
        <v>-1.1839999999999999</v>
      </c>
      <c r="R645" s="273">
        <v>-0.23799999999999999</v>
      </c>
      <c r="S645" s="273">
        <v>-0.19</v>
      </c>
      <c r="T645" s="273">
        <v>-0.13</v>
      </c>
      <c r="U645" s="273">
        <v>-0.33</v>
      </c>
      <c r="V645" s="273">
        <v>0.06</v>
      </c>
      <c r="W645" s="273">
        <v>-0.1</v>
      </c>
      <c r="X645" s="273">
        <v>0.38500000000000001</v>
      </c>
      <c r="Y645" s="273">
        <v>-0.23899999999999999</v>
      </c>
      <c r="Z645" s="273">
        <f ca="1">[1]ExtEntry!$L49</f>
        <v>-0.23899999999999999</v>
      </c>
      <c r="AB645" s="330">
        <v>1.1844053298239843</v>
      </c>
      <c r="AC645" s="330">
        <v>1.1732116669382435</v>
      </c>
      <c r="AD645" s="330">
        <v>1.1917372881355932</v>
      </c>
      <c r="AE645" s="330">
        <v>1.1685466201411994</v>
      </c>
      <c r="AF645" s="330">
        <v>1.1685466201411994</v>
      </c>
      <c r="AG645" s="330">
        <v>1.1646716273050792</v>
      </c>
      <c r="AH645" s="330">
        <v>1.1684518013631937</v>
      </c>
      <c r="AI645" s="330">
        <v>1.1661807580174928</v>
      </c>
      <c r="AJ645" s="330">
        <v>1.1783960720130933</v>
      </c>
      <c r="AK645" s="330">
        <v>1.172447484123107</v>
      </c>
      <c r="AL645" s="330">
        <v>1.1717224319750033</v>
      </c>
      <c r="AM645" s="330">
        <v>1.2186865267433988</v>
      </c>
      <c r="AN645" s="330">
        <v>1.2281659388646289</v>
      </c>
      <c r="AO645" s="330">
        <v>1.2261580381471391</v>
      </c>
      <c r="AP645" s="330">
        <v>1.2316113581936368</v>
      </c>
      <c r="AQ645" s="330">
        <v>1.2337217272104182</v>
      </c>
      <c r="AR645" s="330">
        <v>1.2311901504787963</v>
      </c>
      <c r="AS645" s="330">
        <v>1.2354152367879203</v>
      </c>
      <c r="AT645" s="330">
        <v>1.2193056731583405</v>
      </c>
      <c r="AU645" s="330">
        <v>1.2281030924318146</v>
      </c>
      <c r="AV645" s="330">
        <f ca="1">Calc!AP49</f>
        <v>1.2281030924318146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0</v>
      </c>
      <c r="G646" s="273">
        <v>-0.1</v>
      </c>
      <c r="H646" s="273">
        <v>0.6</v>
      </c>
      <c r="I646" s="273">
        <v>0.5</v>
      </c>
      <c r="J646" s="273">
        <v>0.5</v>
      </c>
      <c r="K646" s="273">
        <v>-0.5</v>
      </c>
      <c r="L646" s="273">
        <v>0</v>
      </c>
      <c r="M646" s="273">
        <v>-0.2</v>
      </c>
      <c r="N646" s="273">
        <v>0.1</v>
      </c>
      <c r="O646" s="273">
        <v>0</v>
      </c>
      <c r="P646" s="273">
        <v>0</v>
      </c>
      <c r="Q646" s="273">
        <v>-0.7</v>
      </c>
      <c r="R646" s="273">
        <v>0</v>
      </c>
      <c r="S646" s="273">
        <v>0.9</v>
      </c>
      <c r="T646" s="273">
        <v>0.3</v>
      </c>
      <c r="U646" s="273">
        <v>0.3</v>
      </c>
      <c r="V646" s="273">
        <v>0</v>
      </c>
      <c r="W646" s="273">
        <v>-0.1</v>
      </c>
      <c r="X646" s="273">
        <v>-0.3</v>
      </c>
      <c r="Y646" s="273">
        <v>-0.1</v>
      </c>
      <c r="Z646" s="273">
        <f ca="1">[1]ExtEntry!$L50</f>
        <v>-0.1</v>
      </c>
      <c r="AB646" s="330">
        <v>1.0502487562189056</v>
      </c>
      <c r="AC646" s="330">
        <v>1.0519933554817276</v>
      </c>
      <c r="AD646" s="330">
        <v>1.0399014778325124</v>
      </c>
      <c r="AE646" s="330">
        <v>1.0331158238172919</v>
      </c>
      <c r="AF646" s="330">
        <v>1.0331158238172919</v>
      </c>
      <c r="AG646" s="330">
        <v>1.0416118421052631</v>
      </c>
      <c r="AH646" s="330">
        <v>1.0280844155844155</v>
      </c>
      <c r="AI646" s="330">
        <v>1.0314332247557003</v>
      </c>
      <c r="AJ646" s="330">
        <v>1.0297560975609756</v>
      </c>
      <c r="AK646" s="330">
        <v>1.0297560975609756</v>
      </c>
      <c r="AL646" s="330">
        <v>1.0381967213114753</v>
      </c>
      <c r="AM646" s="330">
        <v>1.0502487562189056</v>
      </c>
      <c r="AN646" s="330">
        <v>1.0485099337748345</v>
      </c>
      <c r="AO646" s="330">
        <v>1.0297560975609756</v>
      </c>
      <c r="AP646" s="330">
        <v>1.0214516129032258</v>
      </c>
      <c r="AQ646" s="330">
        <v>1.0247572815533981</v>
      </c>
      <c r="AR646" s="330">
        <v>1.0247572815533981</v>
      </c>
      <c r="AS646" s="330">
        <v>1.026418152350081</v>
      </c>
      <c r="AT646" s="330">
        <v>1.0314332247557003</v>
      </c>
      <c r="AU646" s="330">
        <v>1.0331158238172919</v>
      </c>
      <c r="AV646" s="330">
        <f ca="1">Calc!AP50</f>
        <v>1.0331158238172919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0.16</v>
      </c>
      <c r="G647" s="273">
        <v>-0.13</v>
      </c>
      <c r="H647" s="273">
        <v>0.12</v>
      </c>
      <c r="I647" s="273">
        <v>-5.0000000000000001E-3</v>
      </c>
      <c r="J647" s="273">
        <v>-5.0000000000000001E-3</v>
      </c>
      <c r="K647" s="273">
        <v>-0.03</v>
      </c>
      <c r="L647" s="273">
        <v>-0.1</v>
      </c>
      <c r="M647" s="273">
        <v>-0.14000000000000001</v>
      </c>
      <c r="N647" s="273">
        <v>0.01</v>
      </c>
      <c r="O647" s="273">
        <v>-0.16009999999999999</v>
      </c>
      <c r="P647" s="273">
        <v>0.14000000000000001</v>
      </c>
      <c r="Q647" s="273">
        <v>-0.06</v>
      </c>
      <c r="R647" s="273">
        <v>-1.4999999999999999E-2</v>
      </c>
      <c r="S647" s="273">
        <v>-0.01</v>
      </c>
      <c r="T647" s="273">
        <v>-0.22</v>
      </c>
      <c r="U647" s="273">
        <v>-0.02</v>
      </c>
      <c r="V647" s="273">
        <v>-0.03</v>
      </c>
      <c r="W647" s="273">
        <v>-0.21</v>
      </c>
      <c r="X647" s="273">
        <v>-0.1</v>
      </c>
      <c r="Y647" s="273">
        <v>-0.21</v>
      </c>
      <c r="Z647" s="273">
        <f ca="1">[1]ExtEntry!$L51</f>
        <v>-0.21</v>
      </c>
      <c r="AB647" s="330">
        <v>1.0773415326395457</v>
      </c>
      <c r="AC647" s="330">
        <v>1.0783617424242422</v>
      </c>
      <c r="AD647" s="330">
        <v>1.0612767940354146</v>
      </c>
      <c r="AE647" s="330">
        <v>1.071764705882353</v>
      </c>
      <c r="AF647" s="330">
        <v>1.071764705882353</v>
      </c>
      <c r="AG647" s="330">
        <v>1.0692488262910798</v>
      </c>
      <c r="AH647" s="330">
        <v>1.079383886255924</v>
      </c>
      <c r="AI647" s="330">
        <v>1.0939000960614793</v>
      </c>
      <c r="AJ647" s="330">
        <v>1.0928502879078694</v>
      </c>
      <c r="AK647" s="330">
        <v>1.1099036052982971</v>
      </c>
      <c r="AL647" s="330">
        <v>1.079383886255924</v>
      </c>
      <c r="AM647" s="330">
        <v>1.0855576739752144</v>
      </c>
      <c r="AN647" s="330">
        <v>1.079895685158843</v>
      </c>
      <c r="AO647" s="330">
        <v>1.079383886255924</v>
      </c>
      <c r="AP647" s="330">
        <v>1.1023717328170377</v>
      </c>
      <c r="AQ647" s="330">
        <v>1.0905124045801526</v>
      </c>
      <c r="AR647" s="330">
        <v>1.093643062200957</v>
      </c>
      <c r="AS647" s="330">
        <v>1.1160712890625</v>
      </c>
      <c r="AT647" s="330">
        <v>1.127077909270217</v>
      </c>
      <c r="AU647" s="330">
        <v>1.1474467871485943</v>
      </c>
      <c r="AV647" s="330">
        <f ca="1">Calc!AP51</f>
        <v>1.1474467871485943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6.5000000000000002E-2</v>
      </c>
      <c r="G648" s="273">
        <v>-1.5599999999999999E-2</v>
      </c>
      <c r="H648" s="273">
        <v>3.5000000000000003E-2</v>
      </c>
      <c r="I648" s="273">
        <v>4.4999999999999998E-2</v>
      </c>
      <c r="J648" s="273">
        <v>4.4999999999999998E-2</v>
      </c>
      <c r="K648" s="273">
        <v>0.12</v>
      </c>
      <c r="L648" s="273">
        <v>-0.1</v>
      </c>
      <c r="M648" s="273">
        <v>-0.05</v>
      </c>
      <c r="N648" s="273">
        <v>0.06</v>
      </c>
      <c r="O648" s="273">
        <v>0.06</v>
      </c>
      <c r="P648" s="273">
        <v>0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1.0566900878293601</v>
      </c>
      <c r="AC648" s="330">
        <v>1.0505912976946874</v>
      </c>
      <c r="AD648" s="330">
        <v>1.0531663192997083</v>
      </c>
      <c r="AE648" s="330">
        <v>1.0487945205479452</v>
      </c>
      <c r="AF648" s="330">
        <v>1.0487945205479452</v>
      </c>
      <c r="AG648" s="330">
        <v>1.0354696721311476</v>
      </c>
      <c r="AH648" s="330">
        <v>1.0553659147869674</v>
      </c>
      <c r="AI648" s="330">
        <v>1.0597927852348994</v>
      </c>
      <c r="AJ648" s="330">
        <v>1.0544849749582639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1.0112095158597663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-0.9</v>
      </c>
      <c r="G649" s="273">
        <v>0.66</v>
      </c>
      <c r="H649" s="273">
        <v>0.375</v>
      </c>
      <c r="I649" s="273">
        <v>0.47499999999999998</v>
      </c>
      <c r="J649" s="273">
        <v>0.47499999999999998</v>
      </c>
      <c r="K649" s="273">
        <v>1.1299999999999999</v>
      </c>
      <c r="L649" s="273">
        <v>0.46500000000000002</v>
      </c>
      <c r="M649" s="273">
        <v>-0.21</v>
      </c>
      <c r="N649" s="273">
        <v>1.23</v>
      </c>
      <c r="O649" s="273">
        <v>0.1</v>
      </c>
      <c r="P649" s="273">
        <v>0.94</v>
      </c>
      <c r="Q649" s="273">
        <v>0.14000000000000001</v>
      </c>
      <c r="R649" s="273">
        <v>-2.4300000000000002</v>
      </c>
      <c r="S649" s="273">
        <v>-2.78</v>
      </c>
      <c r="T649" s="273">
        <v>0.49</v>
      </c>
      <c r="U649" s="273">
        <v>0.67</v>
      </c>
      <c r="V649" s="273">
        <v>0.82499999999999996</v>
      </c>
      <c r="W649" s="273">
        <v>1.89</v>
      </c>
      <c r="X649" s="273">
        <v>-0.21</v>
      </c>
      <c r="Y649" s="273">
        <v>0.05</v>
      </c>
      <c r="Z649" s="273">
        <f ca="1">[1]ExtEntry!$L53</f>
        <v>0.05</v>
      </c>
      <c r="AB649" s="330">
        <v>1.1627784442361762</v>
      </c>
      <c r="AC649" s="330">
        <v>1.1589767398411956</v>
      </c>
      <c r="AD649" s="330">
        <v>1.1609831095307164</v>
      </c>
      <c r="AE649" s="330">
        <v>1.1574090209431411</v>
      </c>
      <c r="AF649" s="330">
        <v>1.1574090209431411</v>
      </c>
      <c r="AG649" s="330">
        <v>1.1429614002763704</v>
      </c>
      <c r="AH649" s="330">
        <v>1.1102819812967022</v>
      </c>
      <c r="AI649" s="330">
        <v>1.1124223078992199</v>
      </c>
      <c r="AJ649" s="330">
        <v>1.1006783179559971</v>
      </c>
      <c r="AK649" s="330">
        <v>1.0994103677447939</v>
      </c>
      <c r="AL649" s="330">
        <v>1.0855583165631288</v>
      </c>
      <c r="AM649" s="330">
        <v>1.0842301843922049</v>
      </c>
      <c r="AN649" s="330">
        <v>1.1051884910030287</v>
      </c>
      <c r="AO649" s="330">
        <v>1.1086449825752838</v>
      </c>
      <c r="AP649" s="330">
        <v>1.103811921708185</v>
      </c>
      <c r="AQ649" s="330">
        <v>1.1355020018198361</v>
      </c>
      <c r="AR649" s="330">
        <v>1.1275506663654846</v>
      </c>
      <c r="AS649" s="330">
        <v>1.1088650257686155</v>
      </c>
      <c r="AT649" s="330">
        <v>1.1113337786089588</v>
      </c>
      <c r="AU649" s="330">
        <v>1.112324360459934</v>
      </c>
      <c r="AV649" s="330">
        <f ca="1">Calc!AP53</f>
        <v>1.112324360459934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-0.41</v>
      </c>
      <c r="G650" s="273">
        <v>-0.05</v>
      </c>
      <c r="H650" s="273">
        <v>0.14000000000000001</v>
      </c>
      <c r="I650" s="273">
        <v>2.5000000000000001E-2</v>
      </c>
      <c r="J650" s="273">
        <v>2.5000000000000001E-2</v>
      </c>
      <c r="K650" s="273">
        <v>-0.13</v>
      </c>
      <c r="L650" s="273">
        <v>0.03</v>
      </c>
      <c r="M650" s="273">
        <v>-0.21</v>
      </c>
      <c r="N650" s="273">
        <v>0.08</v>
      </c>
      <c r="O650" s="273">
        <v>-5.3999999999999999E-2</v>
      </c>
      <c r="P650" s="273">
        <v>-0.04</v>
      </c>
      <c r="Q650" s="273">
        <v>-0.14499999999999999</v>
      </c>
      <c r="R650" s="273">
        <v>0.06</v>
      </c>
      <c r="S650" s="273">
        <v>0.01</v>
      </c>
      <c r="T650" s="273">
        <v>0.14000000000000001</v>
      </c>
      <c r="U650" s="273">
        <v>0</v>
      </c>
      <c r="V650" s="273">
        <v>-0.12</v>
      </c>
      <c r="W650" s="273">
        <v>-7.0000000000000007E-2</v>
      </c>
      <c r="X650" s="273">
        <v>0.115</v>
      </c>
      <c r="Y650" s="273">
        <v>-0.04</v>
      </c>
      <c r="Z650" s="273">
        <f ca="1">[1]ExtEntry!$L54</f>
        <v>-0.04</v>
      </c>
      <c r="AB650" s="330">
        <v>3.1357388316151202</v>
      </c>
      <c r="AC650" s="330">
        <v>3.125</v>
      </c>
      <c r="AD650" s="330">
        <v>3.0165289256198347</v>
      </c>
      <c r="AE650" s="330">
        <v>2.9602595296025953</v>
      </c>
      <c r="AF650" s="330">
        <v>2.9602595296025953</v>
      </c>
      <c r="AG650" s="330">
        <v>3.0215231788079469</v>
      </c>
      <c r="AH650" s="330">
        <v>2.9246794871794872</v>
      </c>
      <c r="AI650" s="330">
        <v>3.0366056572379367</v>
      </c>
      <c r="AJ650" s="330">
        <v>2.9967159277504107</v>
      </c>
      <c r="AK650" s="330">
        <v>3.023525513585156</v>
      </c>
      <c r="AL650" s="330">
        <v>3.0416666666666665</v>
      </c>
      <c r="AM650" s="330">
        <v>3.1169940222032451</v>
      </c>
      <c r="AN650" s="330">
        <v>3.0775716694772344</v>
      </c>
      <c r="AO650" s="330">
        <v>3.1037414965986394</v>
      </c>
      <c r="AP650" s="330">
        <v>3.0315614617940203</v>
      </c>
      <c r="AQ650" s="330">
        <v>1.7944535073409462</v>
      </c>
      <c r="AR650" s="330">
        <v>1.8302828618968388</v>
      </c>
      <c r="AS650" s="330">
        <v>1.8518518518518516</v>
      </c>
      <c r="AT650" s="330">
        <v>1.8166804293971925</v>
      </c>
      <c r="AU650" s="330">
        <v>1.8242122719734659</v>
      </c>
      <c r="AV650" s="330">
        <f ca="1">Calc!AP54</f>
        <v>1.8242122719734659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0</v>
      </c>
      <c r="G651" s="273">
        <v>-0.02</v>
      </c>
      <c r="H651" s="273">
        <v>0</v>
      </c>
      <c r="I651" s="273">
        <v>-1.2E-2</v>
      </c>
      <c r="J651" s="273">
        <v>-1.2E-2</v>
      </c>
      <c r="K651" s="273">
        <v>-8.0000000000000002E-3</v>
      </c>
      <c r="L651" s="273">
        <v>-2.1999999999999999E-2</v>
      </c>
      <c r="M651" s="273">
        <v>-8.0000000000000002E-3</v>
      </c>
      <c r="N651" s="273">
        <v>8.0000000000000002E-3</v>
      </c>
      <c r="O651" s="273">
        <v>0</v>
      </c>
      <c r="P651" s="273">
        <v>-2.5999999999999999E-2</v>
      </c>
      <c r="Q651" s="273">
        <v>-0.01</v>
      </c>
      <c r="R651" s="273">
        <v>2.8000000000000001E-2</v>
      </c>
      <c r="S651" s="273">
        <v>-2.8000000000000001E-2</v>
      </c>
      <c r="T651" s="273">
        <v>0.02</v>
      </c>
      <c r="U651" s="273">
        <v>-0.02</v>
      </c>
      <c r="V651" s="273">
        <v>1.2E-2</v>
      </c>
      <c r="W651" s="273">
        <v>6.0000000000000001E-3</v>
      </c>
      <c r="X651" s="273">
        <v>-0.02</v>
      </c>
      <c r="Y651" s="273">
        <v>2E-3</v>
      </c>
      <c r="Z651" s="273">
        <f ca="1">[1]ExtEntry!$L55</f>
        <v>2E-3</v>
      </c>
      <c r="AB651" s="330">
        <v>1.5972187500000001</v>
      </c>
      <c r="AC651" s="330">
        <v>1.6312021276595747</v>
      </c>
      <c r="AD651" s="330">
        <v>1.5972187500000001</v>
      </c>
      <c r="AE651" s="330">
        <v>1.6174367088607597</v>
      </c>
      <c r="AF651" s="330">
        <v>1.6174367088607597</v>
      </c>
      <c r="AG651" s="330">
        <v>1.6312021276595747</v>
      </c>
      <c r="AH651" s="330">
        <v>1.6702941176470589</v>
      </c>
      <c r="AI651" s="330">
        <v>1.6849780219780219</v>
      </c>
      <c r="AJ651" s="330">
        <v>1.6702941176470589</v>
      </c>
      <c r="AK651" s="330">
        <v>1.6702941176470589</v>
      </c>
      <c r="AL651" s="330">
        <v>1.6812828947368421</v>
      </c>
      <c r="AM651" s="330">
        <v>1.7037</v>
      </c>
      <c r="AN651" s="330">
        <v>1.6522952586206896</v>
      </c>
      <c r="AO651" s="330">
        <v>1.7037</v>
      </c>
      <c r="AP651" s="330">
        <v>1.7189798206278029</v>
      </c>
      <c r="AQ651" s="330">
        <v>1.7228426966292136</v>
      </c>
      <c r="AR651" s="330">
        <v>1.6999223946784923</v>
      </c>
      <c r="AS651" s="330">
        <v>1.6886894273127753</v>
      </c>
      <c r="AT651" s="330">
        <v>1.7267229729729729</v>
      </c>
      <c r="AU651" s="330">
        <v>1.7228426966292136</v>
      </c>
      <c r="AV651" s="330">
        <f ca="1">Calc!AP55</f>
        <v>1.7228426966292136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-0.27</v>
      </c>
      <c r="G652" s="273">
        <v>1E-4</v>
      </c>
      <c r="H652" s="273">
        <v>-0.04</v>
      </c>
      <c r="I652" s="273">
        <v>-0.105</v>
      </c>
      <c r="J652" s="273">
        <v>-0.105</v>
      </c>
      <c r="K652" s="273">
        <v>0</v>
      </c>
      <c r="L652" s="273">
        <v>7.4999999999999997E-2</v>
      </c>
      <c r="M652" s="273">
        <v>-3.5000000000000003E-2</v>
      </c>
      <c r="N652" s="273">
        <v>0.41499999999999998</v>
      </c>
      <c r="O652" s="273">
        <v>-0.1358</v>
      </c>
      <c r="P652" s="273">
        <v>-0.11</v>
      </c>
      <c r="Q652" s="273">
        <v>-9.5000000000000001E-2</v>
      </c>
      <c r="R652" s="273">
        <v>-5.9700000000000003E-2</v>
      </c>
      <c r="S652" s="273">
        <v>-0.13</v>
      </c>
      <c r="T652" s="273">
        <v>0</v>
      </c>
      <c r="U652" s="273">
        <v>0.05</v>
      </c>
      <c r="V652" s="273">
        <v>-7.0000000000000007E-2</v>
      </c>
      <c r="W652" s="273">
        <v>0.02</v>
      </c>
      <c r="X652" s="273">
        <v>0.13</v>
      </c>
      <c r="Y652" s="273">
        <v>-2.5000000000000001E-2</v>
      </c>
      <c r="Z652" s="273">
        <f ca="1">[1]ExtEntry!$L56</f>
        <v>-2.5000000000000001E-2</v>
      </c>
      <c r="AB652" s="330">
        <v>1.4563106796116505</v>
      </c>
      <c r="AC652" s="330">
        <v>1.4353380221042056</v>
      </c>
      <c r="AD652" s="330">
        <v>1.4925373134328359</v>
      </c>
      <c r="AE652" s="330">
        <v>1.5113350125944585</v>
      </c>
      <c r="AF652" s="330">
        <v>1.5113350125944585</v>
      </c>
      <c r="AG652" s="330">
        <v>1.5228426395939088</v>
      </c>
      <c r="AH652" s="330">
        <v>1.3793103448275863</v>
      </c>
      <c r="AI652" s="330">
        <v>1.3986013986013985</v>
      </c>
      <c r="AJ652" s="330">
        <v>1.1695906432748537</v>
      </c>
      <c r="AK652" s="330">
        <v>1.2375216566289911</v>
      </c>
      <c r="AL652" s="330">
        <v>1.3043478260869565</v>
      </c>
      <c r="AM652" s="330">
        <v>1.3605442176870748</v>
      </c>
      <c r="AN652" s="330">
        <v>1.4148941187567798</v>
      </c>
      <c r="AO652" s="330">
        <v>1.4634146341463417</v>
      </c>
      <c r="AP652" s="330">
        <v>1.4634146341463417</v>
      </c>
      <c r="AQ652" s="330">
        <v>1.4976958525345623</v>
      </c>
      <c r="AR652" s="330">
        <v>1.5476190476190474</v>
      </c>
      <c r="AS652" s="330">
        <v>1.5330188679245282</v>
      </c>
      <c r="AT652" s="330">
        <v>1.4444444444444444</v>
      </c>
      <c r="AU652" s="330">
        <v>1.4606741573033708</v>
      </c>
      <c r="AV652" s="330">
        <f ca="1">Calc!AP56</f>
        <v>1.4606741573033708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-0.13</v>
      </c>
      <c r="G653" s="273">
        <v>0.35</v>
      </c>
      <c r="H653" s="273">
        <v>-0.19</v>
      </c>
      <c r="I653" s="273">
        <v>0.28000000000000003</v>
      </c>
      <c r="J653" s="273">
        <v>0.28000000000000003</v>
      </c>
      <c r="K653" s="273">
        <v>0.28999999999999998</v>
      </c>
      <c r="L653" s="273">
        <v>-0.34</v>
      </c>
      <c r="M653" s="273">
        <v>-0.34</v>
      </c>
      <c r="N653" s="273">
        <v>0.39</v>
      </c>
      <c r="O653" s="273">
        <v>0.14000000000000001</v>
      </c>
      <c r="P653" s="273">
        <v>0.09</v>
      </c>
      <c r="Q653" s="273">
        <v>-0.28000000000000003</v>
      </c>
      <c r="R653" s="273">
        <v>0.12</v>
      </c>
      <c r="S653" s="273">
        <v>-0.01</v>
      </c>
      <c r="T653" s="273">
        <v>0.12</v>
      </c>
      <c r="U653" s="273">
        <v>0.57999999999999996</v>
      </c>
      <c r="V653" s="273">
        <v>0.45</v>
      </c>
      <c r="W653" s="273">
        <v>-0.47</v>
      </c>
      <c r="X653" s="273">
        <v>-7.0000000000000007E-2</v>
      </c>
      <c r="Y653" s="273">
        <v>0.27</v>
      </c>
      <c r="Z653" s="273">
        <f ca="1">[1]ExtEntry!$L57</f>
        <v>0.27</v>
      </c>
      <c r="AB653" s="330">
        <v>1.3348348348348349</v>
      </c>
      <c r="AC653" s="330">
        <v>1.31752500926269</v>
      </c>
      <c r="AD653" s="330">
        <v>1.3318352059925094</v>
      </c>
      <c r="AE653" s="330">
        <v>1.3170370370370372</v>
      </c>
      <c r="AF653" s="330">
        <v>1.3170370370370372</v>
      </c>
      <c r="AG653" s="330">
        <v>1.3030414071088312</v>
      </c>
      <c r="AH653" s="330">
        <v>1.3273609555804406</v>
      </c>
      <c r="AI653" s="330">
        <v>1.3444234404536863</v>
      </c>
      <c r="AJ653" s="330">
        <v>1.324888226527571</v>
      </c>
      <c r="AK653" s="330">
        <v>1.3180133432171981</v>
      </c>
      <c r="AL653" s="330">
        <v>1.3323342075683777</v>
      </c>
      <c r="AM653" s="330">
        <v>1.3500379650721337</v>
      </c>
      <c r="AN653" s="330">
        <v>1.3444234404536863</v>
      </c>
      <c r="AO653" s="330">
        <v>1.3388554216867472</v>
      </c>
      <c r="AP653" s="330">
        <v>1.3239017125837678</v>
      </c>
      <c r="AQ653" s="330">
        <v>1.2987582176771366</v>
      </c>
      <c r="AR653" s="330">
        <v>1.2777578153072227</v>
      </c>
      <c r="AS653" s="330">
        <v>1.2997076023391814</v>
      </c>
      <c r="AT653" s="330">
        <v>1.3030414071088312</v>
      </c>
      <c r="AU653" s="330">
        <v>1.2902757619738754</v>
      </c>
      <c r="AV653" s="330">
        <f ca="1">Calc!AP57</f>
        <v>1.2902757619738754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-1.4999999999999999E-2</v>
      </c>
      <c r="G654" s="273">
        <v>-0.13500000000000001</v>
      </c>
      <c r="H654" s="273">
        <v>-7.0000000000000007E-2</v>
      </c>
      <c r="I654" s="273">
        <v>-7.0000000000000007E-2</v>
      </c>
      <c r="J654" s="273">
        <v>-7.0000000000000007E-2</v>
      </c>
      <c r="K654" s="273">
        <v>-0.08</v>
      </c>
      <c r="L654" s="273">
        <v>-0.03</v>
      </c>
      <c r="M654" s="273">
        <v>0.155</v>
      </c>
      <c r="N654" s="273">
        <v>0.105</v>
      </c>
      <c r="O654" s="273">
        <v>-0.16</v>
      </c>
      <c r="P654" s="273">
        <v>-0.14000000000000001</v>
      </c>
      <c r="Q654" s="273">
        <v>-0.38500000000000001</v>
      </c>
      <c r="R654" s="273">
        <v>-0.11</v>
      </c>
      <c r="S654" s="273">
        <v>0.17499999999999999</v>
      </c>
      <c r="T654" s="273">
        <v>0.115</v>
      </c>
      <c r="U654" s="273">
        <v>0.17</v>
      </c>
      <c r="V654" s="273">
        <v>-0.04</v>
      </c>
      <c r="W654" s="273">
        <v>2.5000000000000001E-2</v>
      </c>
      <c r="X654" s="273">
        <v>-3.5000000000000003E-2</v>
      </c>
      <c r="Y654" s="273">
        <v>0.23</v>
      </c>
      <c r="Z654" s="273">
        <f ca="1">[1]ExtEntry!$L58</f>
        <v>0.23</v>
      </c>
      <c r="AB654" s="330">
        <v>1.0307607131685956</v>
      </c>
      <c r="AC654" s="330">
        <v>1.0395400630914826</v>
      </c>
      <c r="AD654" s="330">
        <v>1.0484702513522113</v>
      </c>
      <c r="AE654" s="330">
        <v>1.0498063077413189</v>
      </c>
      <c r="AF654" s="330">
        <v>1.0498063077413189</v>
      </c>
      <c r="AG654" s="330">
        <v>1.0551847582452769</v>
      </c>
      <c r="AH654" s="330">
        <v>1.0688751216347714</v>
      </c>
      <c r="AI654" s="330">
        <v>1.0582344251766218</v>
      </c>
      <c r="AJ654" s="330">
        <v>1.0511457735247209</v>
      </c>
      <c r="AK654" s="330">
        <v>1.0619858201740251</v>
      </c>
      <c r="AL654" s="330">
        <v>1.0908116517709368</v>
      </c>
      <c r="AM654" s="330">
        <v>1.1227741056218057</v>
      </c>
      <c r="AN654" s="330">
        <v>1.128155426223896</v>
      </c>
      <c r="AO654" s="330">
        <v>1.0973499833499833</v>
      </c>
      <c r="AP654" s="330">
        <v>1.0955259308510639</v>
      </c>
      <c r="AQ654" s="330">
        <v>1.1005695666340827</v>
      </c>
      <c r="AR654" s="330">
        <v>1.1034459327017314</v>
      </c>
      <c r="AS654" s="330">
        <v>1.1016464448793215</v>
      </c>
      <c r="AT654" s="330">
        <v>1.104167374959137</v>
      </c>
      <c r="AU654" s="330">
        <v>1.0878093397745572</v>
      </c>
      <c r="AV654" s="330">
        <f ca="1">Calc!AP58</f>
        <v>1.0878093397745572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3.2000000000000001E-2</v>
      </c>
      <c r="G655" s="273">
        <v>3.2000000000000001E-2</v>
      </c>
      <c r="H655" s="273">
        <v>-4.2000000000000003E-2</v>
      </c>
      <c r="I655" s="273">
        <v>5.3999999999999999E-2</v>
      </c>
      <c r="J655" s="273">
        <v>5.3999999999999999E-2</v>
      </c>
      <c r="K655" s="273">
        <v>8.4000000000000005E-2</v>
      </c>
      <c r="L655" s="273">
        <v>1.7999999999999999E-2</v>
      </c>
      <c r="M655" s="273">
        <v>-5.6000000000000001E-2</v>
      </c>
      <c r="N655" s="273">
        <v>3.4000000000000002E-2</v>
      </c>
      <c r="O655" s="273">
        <v>-5.1999999999999998E-2</v>
      </c>
      <c r="P655" s="273">
        <v>0.1</v>
      </c>
      <c r="Q655" s="273">
        <v>-0.19400000000000001</v>
      </c>
      <c r="R655" s="273">
        <v>-0.24199999999999999</v>
      </c>
      <c r="S655" s="273">
        <v>0.03</v>
      </c>
      <c r="T655" s="273">
        <v>-4.5999999999999999E-2</v>
      </c>
      <c r="U655" s="273">
        <v>6.2E-2</v>
      </c>
      <c r="V655" s="273">
        <v>0.25600000000000001</v>
      </c>
      <c r="W655" s="273">
        <v>1.4E-2</v>
      </c>
      <c r="X655" s="273">
        <v>-3.5999999999999997E-2</v>
      </c>
      <c r="Y655" s="273">
        <v>-0.04</v>
      </c>
      <c r="Z655" s="273">
        <f ca="1">[1]ExtEntry!$L59</f>
        <v>-0.04</v>
      </c>
      <c r="AB655" s="330">
        <v>1.0172321667111943</v>
      </c>
      <c r="AC655" s="330">
        <v>1.0172321667111943</v>
      </c>
      <c r="AD655" s="330">
        <v>1.0200937709310114</v>
      </c>
      <c r="AE655" s="330">
        <v>1.0151979736035195</v>
      </c>
      <c r="AF655" s="330">
        <v>1.0151979736035195</v>
      </c>
      <c r="AG655" s="330">
        <v>1.0095452737637545</v>
      </c>
      <c r="AH655" s="330">
        <v>0.9989505444050899</v>
      </c>
      <c r="AI655" s="330">
        <v>1.0026333113890717</v>
      </c>
      <c r="AJ655" s="330">
        <v>1.0003941145559643</v>
      </c>
      <c r="AK655" s="330">
        <v>1.003822831531769</v>
      </c>
      <c r="AL655" s="330">
        <v>0.99269977838612955</v>
      </c>
      <c r="AM655" s="330">
        <v>1.0070087278497752</v>
      </c>
      <c r="AN655" s="330">
        <v>1.0207774798927614</v>
      </c>
      <c r="AO655" s="330">
        <v>1.0209143316798499</v>
      </c>
      <c r="AP655" s="330">
        <v>1.0233839537696547</v>
      </c>
      <c r="AQ655" s="330">
        <v>1.036900871459695</v>
      </c>
      <c r="AR655" s="330">
        <v>1.0191381156316917</v>
      </c>
      <c r="AS655" s="330">
        <v>1.0181842492311806</v>
      </c>
      <c r="AT655" s="330">
        <v>1.0206406647902426</v>
      </c>
      <c r="AU655" s="330">
        <v>1.0233839537696547</v>
      </c>
      <c r="AV655" s="330">
        <f ca="1">Calc!AP59</f>
        <v>1.0233839537696547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-0.01</v>
      </c>
      <c r="G656" s="273">
        <v>-5.3E-3</v>
      </c>
      <c r="H656" s="273">
        <v>-1.4999999999999999E-2</v>
      </c>
      <c r="I656" s="273">
        <v>0.01</v>
      </c>
      <c r="J656" s="273">
        <v>0.01</v>
      </c>
      <c r="K656" s="273">
        <v>0.02</v>
      </c>
      <c r="L656" s="273">
        <v>0.54359999999999997</v>
      </c>
      <c r="M656" s="273">
        <v>-0.51949999999999996</v>
      </c>
      <c r="N656" s="273">
        <v>-1.7500000000000002E-2</v>
      </c>
      <c r="O656" s="273">
        <v>-1.0699999999999999E-2</v>
      </c>
      <c r="P656" s="273">
        <v>5.0000000000000001E-3</v>
      </c>
      <c r="Q656" s="273">
        <v>-6.6E-3</v>
      </c>
      <c r="R656" s="273">
        <v>-3.8E-3</v>
      </c>
      <c r="S656" s="273">
        <v>-2.3E-3</v>
      </c>
      <c r="T656" s="273">
        <v>-4.8999999999999998E-3</v>
      </c>
      <c r="U656" s="273">
        <v>4.0000000000000001E-3</v>
      </c>
      <c r="V656" s="273">
        <v>3.0999999999999999E-3</v>
      </c>
      <c r="W656" s="273">
        <v>-3.5000000000000003E-2</v>
      </c>
      <c r="X656" s="273">
        <v>0</v>
      </c>
      <c r="Y656" s="273">
        <v>-2.5999999999999999E-3</v>
      </c>
      <c r="Z656" s="273">
        <f ca="1">[1]ExtEntry!$L60</f>
        <v>-2.5999999999999999E-3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0.78</v>
      </c>
      <c r="G657" s="273">
        <v>0.16</v>
      </c>
      <c r="H657" s="273">
        <v>-0.78</v>
      </c>
      <c r="I657" s="273">
        <v>0.56000000000000005</v>
      </c>
      <c r="J657" s="273">
        <v>0.56000000000000005</v>
      </c>
      <c r="K657" s="273">
        <v>-0.9</v>
      </c>
      <c r="L657" s="273">
        <v>-2.02</v>
      </c>
      <c r="M657" s="273">
        <v>-3.82</v>
      </c>
      <c r="N657" s="273">
        <v>0</v>
      </c>
      <c r="O657" s="273">
        <v>0.64</v>
      </c>
      <c r="P657" s="273">
        <v>0.42</v>
      </c>
      <c r="Q657" s="273">
        <v>-0.92</v>
      </c>
      <c r="R657" s="273">
        <v>0.24</v>
      </c>
      <c r="S657" s="273">
        <v>0.56000000000000005</v>
      </c>
      <c r="T657" s="273">
        <v>-0.14000000000000001</v>
      </c>
      <c r="U657" s="273">
        <v>0.72</v>
      </c>
      <c r="V657" s="273">
        <v>0.56000000000000005</v>
      </c>
      <c r="W657" s="273">
        <v>1.5</v>
      </c>
      <c r="X657" s="273">
        <v>1.78</v>
      </c>
      <c r="Y657" s="273">
        <v>-0.34</v>
      </c>
      <c r="Z657" s="273">
        <f ca="1">[1]ExtEntry!$L61</f>
        <v>-0.34</v>
      </c>
      <c r="AB657" s="330">
        <v>0.8875499145299145</v>
      </c>
      <c r="AC657" s="330">
        <v>0.88512904875554044</v>
      </c>
      <c r="AD657" s="330">
        <v>0.89520120689655169</v>
      </c>
      <c r="AE657" s="330">
        <v>0.89028926611796977</v>
      </c>
      <c r="AF657" s="330">
        <v>0.89028926611796977</v>
      </c>
      <c r="AG657" s="330">
        <v>0.90424364332985019</v>
      </c>
      <c r="AH657" s="330">
        <v>0.9301624865639555</v>
      </c>
      <c r="AI657" s="330">
        <v>0.99849365384615385</v>
      </c>
      <c r="AJ657" s="330">
        <v>0.99849365384615385</v>
      </c>
      <c r="AK657" s="330">
        <v>0.98635391337386014</v>
      </c>
      <c r="AL657" s="330">
        <v>1.1420775310500564</v>
      </c>
      <c r="AM657" s="330">
        <v>1.1608645753634277</v>
      </c>
      <c r="AN657" s="330">
        <v>1.1507394766780432</v>
      </c>
      <c r="AO657" s="330">
        <v>1.1369426751592355</v>
      </c>
      <c r="AP657" s="330">
        <v>1.1251390433815351</v>
      </c>
      <c r="AQ657" s="330">
        <v>1.12890625</v>
      </c>
      <c r="AR657" s="330">
        <v>1.1172680412371134</v>
      </c>
      <c r="AS657" s="330">
        <v>1.087244715155858</v>
      </c>
      <c r="AT657" s="330">
        <v>1.0536458333333332</v>
      </c>
      <c r="AU657" s="330">
        <v>1.0599022004889975</v>
      </c>
      <c r="AV657" s="330">
        <f ca="1">Calc!AP61</f>
        <v>1.0599022004889975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0.11</v>
      </c>
      <c r="G658" s="273">
        <v>0.04</v>
      </c>
      <c r="H658" s="273">
        <v>0.06</v>
      </c>
      <c r="I658" s="273">
        <v>-0.1</v>
      </c>
      <c r="J658" s="273">
        <v>-0.1</v>
      </c>
      <c r="K658" s="273">
        <v>0.1</v>
      </c>
      <c r="L658" s="273">
        <v>-0.26500000000000001</v>
      </c>
      <c r="M658" s="273">
        <v>-0.34</v>
      </c>
      <c r="N658" s="273">
        <v>-1.4999999999999999E-2</v>
      </c>
      <c r="O658" s="273">
        <v>-0.115</v>
      </c>
      <c r="P658" s="273">
        <v>-1.4999999999999999E-2</v>
      </c>
      <c r="Q658" s="273">
        <v>-0.115</v>
      </c>
      <c r="R658" s="273">
        <v>-0.26500000000000001</v>
      </c>
      <c r="S658" s="273">
        <v>0.155</v>
      </c>
      <c r="T658" s="273">
        <v>-3.5000000000000003E-2</v>
      </c>
      <c r="U658" s="273">
        <v>-0.1</v>
      </c>
      <c r="V658" s="273">
        <v>0.14499999999999999</v>
      </c>
      <c r="W658" s="273">
        <v>0.05</v>
      </c>
      <c r="X658" s="273">
        <v>0.17</v>
      </c>
      <c r="Y658" s="273">
        <v>0.01</v>
      </c>
      <c r="Z658" s="273">
        <f ca="1">[1]ExtEntry!$L62</f>
        <v>0.01</v>
      </c>
      <c r="AB658" s="330">
        <v>1.0353920888272032</v>
      </c>
      <c r="AC658" s="330">
        <v>1.0325259515570935</v>
      </c>
      <c r="AD658" s="330">
        <v>1.0289655172413794</v>
      </c>
      <c r="AE658" s="330">
        <v>1.0371915189433438</v>
      </c>
      <c r="AF658" s="330">
        <v>1.0371915189433438</v>
      </c>
      <c r="AG658" s="330">
        <v>1.030031066620642</v>
      </c>
      <c r="AH658" s="330">
        <v>1.0495954977136828</v>
      </c>
      <c r="AI658" s="330">
        <v>1.0753153153153152</v>
      </c>
      <c r="AJ658" s="330">
        <v>1.0764790764790766</v>
      </c>
      <c r="AK658" s="330">
        <v>1.0854856311385959</v>
      </c>
      <c r="AL658" s="330">
        <v>1.0745408714440043</v>
      </c>
      <c r="AM658" s="330">
        <v>1.0831215970961887</v>
      </c>
      <c r="AN658" s="330">
        <v>1.1035502958579881</v>
      </c>
      <c r="AO658" s="330">
        <v>1.0906432748538011</v>
      </c>
      <c r="AP658" s="330">
        <v>1.0906432748538011</v>
      </c>
      <c r="AQ658" s="330">
        <v>1.1031423290203326</v>
      </c>
      <c r="AR658" s="330">
        <v>1.0914411119239209</v>
      </c>
      <c r="AS658" s="330">
        <v>1.0874635568513118</v>
      </c>
      <c r="AT658" s="330">
        <v>1.074154067674586</v>
      </c>
      <c r="AU658" s="330">
        <v>1.0733812949640287</v>
      </c>
      <c r="AV658" s="330">
        <f ca="1">Calc!AP62</f>
        <v>1.0733812949640287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-0.89</v>
      </c>
      <c r="G659" s="273">
        <v>0.46</v>
      </c>
      <c r="H659" s="273">
        <v>0.37</v>
      </c>
      <c r="I659" s="273">
        <v>7.0000000000000007E-2</v>
      </c>
      <c r="J659" s="273">
        <v>7.0000000000000007E-2</v>
      </c>
      <c r="K659" s="273">
        <v>0.11</v>
      </c>
      <c r="L659" s="273">
        <v>-0.37</v>
      </c>
      <c r="M659" s="273">
        <v>-0.35</v>
      </c>
      <c r="N659" s="273">
        <v>-0.08</v>
      </c>
      <c r="O659" s="273">
        <v>-0.31</v>
      </c>
      <c r="P659" s="273">
        <v>0.32</v>
      </c>
      <c r="Q659" s="273">
        <v>-0.48</v>
      </c>
      <c r="R659" s="273">
        <v>-0.08</v>
      </c>
      <c r="S659" s="273">
        <v>0.79</v>
      </c>
      <c r="T659" s="273">
        <v>0.25</v>
      </c>
      <c r="U659" s="273">
        <v>0.8</v>
      </c>
      <c r="V659" s="273">
        <v>-0.11</v>
      </c>
      <c r="W659" s="273">
        <v>0.15</v>
      </c>
      <c r="X659" s="273">
        <v>-0.11</v>
      </c>
      <c r="Y659" s="273">
        <v>0.18</v>
      </c>
      <c r="Z659" s="273">
        <f ca="1">[1]ExtEntry!$L63</f>
        <v>0.18</v>
      </c>
      <c r="AB659" s="330">
        <v>1.2246963562753037</v>
      </c>
      <c r="AC659" s="330">
        <v>1.2086187214611872</v>
      </c>
      <c r="AD659" s="330">
        <v>1.203125</v>
      </c>
      <c r="AE659" s="330">
        <v>1.2010777084515032</v>
      </c>
      <c r="AF659" s="330">
        <v>1.2010777084515032</v>
      </c>
      <c r="AG659" s="330">
        <v>1.1973423805484875</v>
      </c>
      <c r="AH659" s="330">
        <v>1.198019801980198</v>
      </c>
      <c r="AI659" s="330">
        <v>1.21</v>
      </c>
      <c r="AJ659" s="330">
        <v>1.2127720504009163</v>
      </c>
      <c r="AK659" s="330">
        <v>1.223634787633632</v>
      </c>
      <c r="AL659" s="330">
        <v>1.2254050925925926</v>
      </c>
      <c r="AM659" s="330">
        <v>1.2507383343177791</v>
      </c>
      <c r="AN659" s="330">
        <v>1.2511078286558346</v>
      </c>
      <c r="AO659" s="330">
        <v>1.2180040264595915</v>
      </c>
      <c r="AP659" s="330">
        <v>1.2131194500143228</v>
      </c>
      <c r="AQ659" s="330">
        <v>1.1979651032942491</v>
      </c>
      <c r="AR659" s="330">
        <v>1.201655278633436</v>
      </c>
      <c r="AS659" s="330">
        <v>1.1966288343558282</v>
      </c>
      <c r="AT659" s="330">
        <v>1.2003107692307693</v>
      </c>
      <c r="AU659" s="330">
        <v>1.1942975229613138</v>
      </c>
      <c r="AV659" s="330">
        <f ca="1">Calc!AP63</f>
        <v>1.1942975229613138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0.65</v>
      </c>
      <c r="G660" s="273">
        <v>-0.95</v>
      </c>
      <c r="H660" s="273">
        <v>-0.55000000000000004</v>
      </c>
      <c r="I660" s="273">
        <v>0.25</v>
      </c>
      <c r="J660" s="273">
        <v>0.25</v>
      </c>
      <c r="K660" s="273">
        <v>-3.15</v>
      </c>
      <c r="L660" s="273">
        <v>0.4</v>
      </c>
      <c r="M660" s="273">
        <v>-1.1499999999999999</v>
      </c>
      <c r="N660" s="273">
        <v>4.55</v>
      </c>
      <c r="O660" s="273">
        <v>-0.05</v>
      </c>
      <c r="P660" s="273">
        <v>1.75</v>
      </c>
      <c r="Q660" s="273">
        <v>-6.1</v>
      </c>
      <c r="R660" s="273">
        <v>3.2</v>
      </c>
      <c r="S660" s="273">
        <v>3.05</v>
      </c>
      <c r="T660" s="273">
        <v>-1.1000000000000001</v>
      </c>
      <c r="U660" s="273">
        <v>2.2000000000000002</v>
      </c>
      <c r="V660" s="273">
        <v>-0.15</v>
      </c>
      <c r="W660" s="273">
        <v>-6.6</v>
      </c>
      <c r="X660" s="273">
        <v>-3.9</v>
      </c>
      <c r="Y660" s="273">
        <v>1.1000000000000001</v>
      </c>
      <c r="Z660" s="273">
        <f ca="1">[1]ExtEntry!$L64</f>
        <v>1.1000000000000001</v>
      </c>
      <c r="AB660" s="330">
        <v>1.1967773002295012</v>
      </c>
      <c r="AC660" s="330">
        <v>1.2015403435274403</v>
      </c>
      <c r="AD660" s="330">
        <v>1.2129739056883062</v>
      </c>
      <c r="AE660" s="330">
        <v>1.2106698184888138</v>
      </c>
      <c r="AF660" s="330">
        <v>1.2106698184888138</v>
      </c>
      <c r="AG660" s="330">
        <v>1.2269847272727272</v>
      </c>
      <c r="AH660" s="330">
        <v>1.2309342489270387</v>
      </c>
      <c r="AI660" s="330">
        <v>1.2370398102221265</v>
      </c>
      <c r="AJ660" s="330">
        <v>1.2132304568527918</v>
      </c>
      <c r="AK660" s="330">
        <v>1.2134871165644172</v>
      </c>
      <c r="AL660" s="330">
        <v>1.2285614906832298</v>
      </c>
      <c r="AM660" s="330">
        <v>1.2590328358208955</v>
      </c>
      <c r="AN660" s="330">
        <v>1.2445549142981125</v>
      </c>
      <c r="AO660" s="330">
        <v>1.2235822525597269</v>
      </c>
      <c r="AP660" s="330">
        <v>1.2357073675140027</v>
      </c>
      <c r="AQ660" s="330">
        <v>1.2666972011282274</v>
      </c>
      <c r="AR660" s="330">
        <v>1.2675222318714718</v>
      </c>
      <c r="AS660" s="330">
        <v>1.3049189539561914</v>
      </c>
      <c r="AT660" s="330">
        <v>1.3280726569608734</v>
      </c>
      <c r="AU660" s="330">
        <v>1.3214593481213219</v>
      </c>
      <c r="AV660" s="330">
        <f ca="1">Calc!AP64</f>
        <v>1.3214593481213219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</v>
      </c>
      <c r="G661" s="273">
        <v>0.75</v>
      </c>
      <c r="H661" s="273">
        <v>-0.65</v>
      </c>
      <c r="I661" s="273">
        <v>-0.25</v>
      </c>
      <c r="J661" s="273">
        <v>-0.25</v>
      </c>
      <c r="K661" s="273">
        <v>0.1</v>
      </c>
      <c r="L661" s="273">
        <v>1.05</v>
      </c>
      <c r="M661" s="273">
        <v>-1</v>
      </c>
      <c r="N661" s="273">
        <v>-0.4</v>
      </c>
      <c r="O661" s="273">
        <v>0.6</v>
      </c>
      <c r="P661" s="273">
        <v>-0.65</v>
      </c>
      <c r="Q661" s="273">
        <v>-1.25</v>
      </c>
      <c r="R661" s="273">
        <v>0.5</v>
      </c>
      <c r="S661" s="273">
        <v>0.25</v>
      </c>
      <c r="T661" s="273">
        <v>0.8</v>
      </c>
      <c r="U661" s="273">
        <v>-0.25</v>
      </c>
      <c r="V661" s="273">
        <v>0.4</v>
      </c>
      <c r="W661" s="273">
        <v>0.65</v>
      </c>
      <c r="X661" s="273">
        <v>-0.9</v>
      </c>
      <c r="Y661" s="273">
        <v>0.9</v>
      </c>
      <c r="Z661" s="273">
        <f ca="1">[1]ExtEntry!$L65</f>
        <v>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-1.1499999999999999</v>
      </c>
      <c r="G662" s="273">
        <v>-1.54</v>
      </c>
      <c r="H662" s="273">
        <v>-0.57999999999999996</v>
      </c>
      <c r="I662" s="273">
        <v>-0.77</v>
      </c>
      <c r="J662" s="273">
        <v>-0.77</v>
      </c>
      <c r="K662" s="273">
        <v>-4.55</v>
      </c>
      <c r="L662" s="273">
        <v>-0.6</v>
      </c>
      <c r="M662" s="273">
        <v>2.15</v>
      </c>
      <c r="N662" s="273">
        <v>1.18</v>
      </c>
      <c r="O662" s="273">
        <v>0.90990000000000004</v>
      </c>
      <c r="P662" s="273">
        <v>-0.42</v>
      </c>
      <c r="Q662" s="273">
        <v>-4.5602</v>
      </c>
      <c r="R662" s="273">
        <v>6.4753999999999996</v>
      </c>
      <c r="S662" s="273">
        <v>8.75</v>
      </c>
      <c r="T662" s="273">
        <v>1.31</v>
      </c>
      <c r="U662" s="273">
        <v>-1.81</v>
      </c>
      <c r="V662" s="273">
        <v>-3.53</v>
      </c>
      <c r="W662" s="273">
        <v>-7.56</v>
      </c>
      <c r="X662" s="273">
        <v>3.6150000000000002</v>
      </c>
      <c r="Y662" s="273">
        <v>4.04</v>
      </c>
      <c r="Z662" s="273">
        <f ca="1">[1]ExtEntry!$L66</f>
        <v>4.04</v>
      </c>
      <c r="AB662" s="330">
        <v>0.98459496942027735</v>
      </c>
      <c r="AC662" s="330">
        <v>0.98859738799515651</v>
      </c>
      <c r="AD662" s="330">
        <v>0.98958166313146623</v>
      </c>
      <c r="AE662" s="330">
        <v>0.9934089170867374</v>
      </c>
      <c r="AF662" s="330">
        <v>0.9934089170867374</v>
      </c>
      <c r="AG662" s="330">
        <v>1.0114740940666342</v>
      </c>
      <c r="AH662" s="330">
        <v>1.0063534953336855</v>
      </c>
      <c r="AI662" s="330">
        <v>0.99691797130521997</v>
      </c>
      <c r="AJ662" s="330">
        <v>0.99181422187513557</v>
      </c>
      <c r="AK662" s="330">
        <v>0.9879142557969991</v>
      </c>
      <c r="AL662" s="330">
        <v>0.98476462479538218</v>
      </c>
      <c r="AM662" s="330">
        <v>1.004497147813646</v>
      </c>
      <c r="AN662" s="330">
        <v>0.96785652895865038</v>
      </c>
      <c r="AO662" s="330">
        <v>0.95862481653876797</v>
      </c>
      <c r="AP662" s="330">
        <v>0.95338752189507048</v>
      </c>
      <c r="AQ662" s="330">
        <v>0.99010227845972765</v>
      </c>
      <c r="AR662" s="330">
        <v>1.0050161297205036</v>
      </c>
      <c r="AS662" s="330">
        <v>1.0385181445390008</v>
      </c>
      <c r="AT662" s="330">
        <v>1.0222240402769038</v>
      </c>
      <c r="AU662" s="330">
        <v>1.0062183534840006</v>
      </c>
      <c r="AV662" s="330">
        <f ca="1">Calc!AP66</f>
        <v>1.0062183534840006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6.3932000000000002</v>
      </c>
      <c r="G663" s="273">
        <v>0.6</v>
      </c>
      <c r="H663" s="273">
        <v>-0.83</v>
      </c>
      <c r="I663" s="273">
        <v>-3.99</v>
      </c>
      <c r="J663" s="273">
        <v>-3.99</v>
      </c>
      <c r="K663" s="273">
        <v>-4.2</v>
      </c>
      <c r="L663" s="273">
        <v>-0.9</v>
      </c>
      <c r="M663" s="273">
        <v>0.77</v>
      </c>
      <c r="N663" s="273">
        <v>0.41</v>
      </c>
      <c r="O663" s="273">
        <v>3.4270999999999998</v>
      </c>
      <c r="P663" s="273">
        <v>-2.6</v>
      </c>
      <c r="Q663" s="273">
        <v>-6.6271000000000004</v>
      </c>
      <c r="R663" s="273">
        <v>0.64</v>
      </c>
      <c r="S663" s="273">
        <v>0.65</v>
      </c>
      <c r="T663" s="273">
        <v>9.69</v>
      </c>
      <c r="U663" s="273">
        <v>3.51</v>
      </c>
      <c r="V663" s="273">
        <v>2.4</v>
      </c>
      <c r="W663" s="273">
        <v>-7.91</v>
      </c>
      <c r="X663" s="273">
        <v>-0.185</v>
      </c>
      <c r="Y663" s="273">
        <v>-1.8</v>
      </c>
      <c r="Z663" s="273">
        <f ca="1">[1]ExtEntry!$L67</f>
        <v>-1.8</v>
      </c>
      <c r="AB663" s="329">
        <v>1.047045981610127</v>
      </c>
      <c r="AC663" s="329">
        <v>1.0442120217635373</v>
      </c>
      <c r="AD663" s="329">
        <v>1.0504718505647264</v>
      </c>
      <c r="AE663" s="329">
        <v>1.062938989010989</v>
      </c>
      <c r="AF663" s="329">
        <v>1.062938989010989</v>
      </c>
      <c r="AG663" s="329">
        <v>1.0804638756087754</v>
      </c>
      <c r="AH663" s="329">
        <v>1.0608871632885848</v>
      </c>
      <c r="AI663" s="329">
        <v>1.0573154649993441</v>
      </c>
      <c r="AJ663" s="329">
        <v>1.0554234462290504</v>
      </c>
      <c r="AK663" s="329">
        <v>1.0398694286017758</v>
      </c>
      <c r="AL663" s="329">
        <v>1.0559765065502185</v>
      </c>
      <c r="AM663" s="329">
        <v>1.0874464469366547</v>
      </c>
      <c r="AN663" s="329">
        <v>1.0700885919107888</v>
      </c>
      <c r="AO663" s="329">
        <v>1.0700412407628657</v>
      </c>
      <c r="AP663" s="329">
        <v>1.0260464188730483</v>
      </c>
      <c r="AQ663" s="329">
        <v>1.1159274508141113</v>
      </c>
      <c r="AR663" s="329">
        <v>1.1046857370718604</v>
      </c>
      <c r="AS663" s="329">
        <v>1.142622888898537</v>
      </c>
      <c r="AT663" s="329">
        <v>1.1435413760889874</v>
      </c>
      <c r="AU663" s="329">
        <v>1.153540784571554</v>
      </c>
      <c r="AV663" s="329">
        <f ca="1">Calc!AP67</f>
        <v>1.153540784571554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2.2999999999999998</v>
      </c>
      <c r="G664" s="273">
        <v>-6</v>
      </c>
      <c r="H664" s="273">
        <v>-1.1000000000000001</v>
      </c>
      <c r="I664" s="273">
        <v>3.6</v>
      </c>
      <c r="J664" s="273">
        <v>3.6</v>
      </c>
      <c r="K664" s="273">
        <v>-4.0999999999999996</v>
      </c>
      <c r="L664" s="273">
        <v>0.5</v>
      </c>
      <c r="M664" s="273">
        <v>3.9</v>
      </c>
      <c r="N664" s="273">
        <v>9.6</v>
      </c>
      <c r="O664" s="273">
        <v>-5.7</v>
      </c>
      <c r="P664" s="273">
        <v>-0.8</v>
      </c>
      <c r="Q664" s="273">
        <v>-19.100000000000001</v>
      </c>
      <c r="R664" s="273">
        <v>12.9</v>
      </c>
      <c r="S664" s="273">
        <v>8.1</v>
      </c>
      <c r="T664" s="273">
        <v>14.9</v>
      </c>
      <c r="U664" s="273">
        <v>16.399999999999999</v>
      </c>
      <c r="V664" s="273">
        <v>6.6</v>
      </c>
      <c r="W664" s="273">
        <v>-3</v>
      </c>
      <c r="X664" s="273">
        <v>5.8</v>
      </c>
      <c r="Y664" s="273">
        <v>3.8</v>
      </c>
      <c r="Z664" s="273">
        <f ca="1">[1]ExtEntry!$L68</f>
        <v>3.8</v>
      </c>
      <c r="AB664" s="330">
        <v>1.1934690465080107</v>
      </c>
      <c r="AC664" s="330">
        <v>1.2047122782226409</v>
      </c>
      <c r="AD664" s="330">
        <v>1.2071762901195719</v>
      </c>
      <c r="AE664" s="330">
        <v>1.1945839171726609</v>
      </c>
      <c r="AF664" s="330">
        <v>1.1945839171726609</v>
      </c>
      <c r="AG664" s="330">
        <v>1.2022583046067064</v>
      </c>
      <c r="AH664" s="330">
        <v>1.1864562393691045</v>
      </c>
      <c r="AI664" s="330">
        <v>1.179344067015063</v>
      </c>
      <c r="AJ664" s="330">
        <v>1.1621951681308693</v>
      </c>
      <c r="AK664" s="330">
        <v>1.1723166539343011</v>
      </c>
      <c r="AL664" s="330">
        <v>1.2067965555206039</v>
      </c>
      <c r="AM664" s="330">
        <v>1.2435676661264181</v>
      </c>
      <c r="AN664" s="330">
        <v>1.217713458181241</v>
      </c>
      <c r="AO664" s="330">
        <v>1.2113691979791601</v>
      </c>
      <c r="AP664" s="330">
        <v>1.1581603773584905</v>
      </c>
      <c r="AQ664" s="330">
        <v>1.1203074194501921</v>
      </c>
      <c r="AR664" s="330">
        <v>1.1094847775175642</v>
      </c>
      <c r="AS664" s="330">
        <v>1.1143781240811526</v>
      </c>
      <c r="AT664" s="330">
        <v>1.1049562682215743</v>
      </c>
      <c r="AU664" s="330">
        <v>1.0988692374601334</v>
      </c>
      <c r="AV664" s="330">
        <f ca="1">Calc!AP68</f>
        <v>1.0988692374601334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-0.27</v>
      </c>
      <c r="G665" s="273">
        <v>1E-4</v>
      </c>
      <c r="H665" s="273">
        <v>-0.04</v>
      </c>
      <c r="I665" s="273">
        <v>-0.105</v>
      </c>
      <c r="J665" s="273">
        <v>-0.105</v>
      </c>
      <c r="K665" s="273">
        <v>0</v>
      </c>
      <c r="L665" s="273">
        <v>7.4999999999999997E-2</v>
      </c>
      <c r="M665" s="273">
        <v>-3.5000000000000003E-2</v>
      </c>
      <c r="N665" s="273">
        <v>0.41499999999999998</v>
      </c>
      <c r="O665" s="273">
        <v>-0.1358</v>
      </c>
      <c r="P665" s="273">
        <v>-0.11</v>
      </c>
      <c r="Q665" s="273">
        <v>-9.5000000000000001E-2</v>
      </c>
      <c r="R665" s="273">
        <v>-5.9700000000000003E-2</v>
      </c>
      <c r="S665" s="273">
        <v>-0.13</v>
      </c>
      <c r="T665" s="273">
        <v>0</v>
      </c>
      <c r="U665" s="273">
        <v>0.05</v>
      </c>
      <c r="V665" s="273">
        <v>-7.0000000000000007E-2</v>
      </c>
      <c r="W665" s="273">
        <v>0.02</v>
      </c>
      <c r="X665" s="273">
        <v>0.13</v>
      </c>
      <c r="Y665" s="273">
        <v>-2.5000000000000001E-2</v>
      </c>
      <c r="Z665" s="273">
        <f ca="1">[1]ExtEntry!$L69</f>
        <v>-2.5000000000000001E-2</v>
      </c>
      <c r="AB665" s="330">
        <v>1.4563106796116505</v>
      </c>
      <c r="AC665" s="330">
        <v>1.4353380221042056</v>
      </c>
      <c r="AD665" s="330">
        <v>1.4925373134328359</v>
      </c>
      <c r="AE665" s="330">
        <v>1.5113350125944585</v>
      </c>
      <c r="AF665" s="330">
        <v>1.5113350125944585</v>
      </c>
      <c r="AG665" s="330">
        <v>1.5228426395939088</v>
      </c>
      <c r="AH665" s="330">
        <v>1.3793103448275863</v>
      </c>
      <c r="AI665" s="330">
        <v>1.3986013986013985</v>
      </c>
      <c r="AJ665" s="330">
        <v>1.1695906432748537</v>
      </c>
      <c r="AK665" s="330">
        <v>1.2375216566289911</v>
      </c>
      <c r="AL665" s="330">
        <v>1.3043478260869565</v>
      </c>
      <c r="AM665" s="330">
        <v>1.3605442176870748</v>
      </c>
      <c r="AN665" s="330">
        <v>1.4148941187567798</v>
      </c>
      <c r="AO665" s="330">
        <v>1.4634146341463417</v>
      </c>
      <c r="AP665" s="330">
        <v>1.4634146341463417</v>
      </c>
      <c r="AQ665" s="330">
        <v>1.4976958525345623</v>
      </c>
      <c r="AR665" s="330">
        <v>1.5476190476190474</v>
      </c>
      <c r="AS665" s="330">
        <v>1.5330188679245282</v>
      </c>
      <c r="AT665" s="330">
        <v>1.4444444444444444</v>
      </c>
      <c r="AU665" s="330">
        <v>1.4606741573033708</v>
      </c>
      <c r="AV665" s="330">
        <f ca="1">Calc!AP69</f>
        <v>1.4606741573033708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-0.435</v>
      </c>
      <c r="G666" s="273">
        <v>6.5000000000000002E-2</v>
      </c>
      <c r="H666" s="273">
        <v>0.95499999999999996</v>
      </c>
      <c r="I666" s="273">
        <v>-0.40500000000000003</v>
      </c>
      <c r="J666" s="273">
        <v>-0.40500000000000003</v>
      </c>
      <c r="K666" s="273">
        <v>0.79</v>
      </c>
      <c r="L666" s="273">
        <v>-1.1200000000000001</v>
      </c>
      <c r="M666" s="273">
        <v>-0.06</v>
      </c>
      <c r="N666" s="273">
        <v>0.42</v>
      </c>
      <c r="O666" s="273">
        <v>-1.01</v>
      </c>
      <c r="P666" s="273">
        <v>0.74</v>
      </c>
      <c r="Q666" s="273">
        <v>-1.59</v>
      </c>
      <c r="R666" s="273">
        <v>-1.63</v>
      </c>
      <c r="S666" s="273">
        <v>-0.89</v>
      </c>
      <c r="T666" s="273">
        <v>1.43</v>
      </c>
      <c r="U666" s="273">
        <v>0.93</v>
      </c>
      <c r="V666" s="273">
        <v>-1.48</v>
      </c>
      <c r="W666" s="273">
        <v>-1.55</v>
      </c>
      <c r="X666" s="273">
        <v>1.355</v>
      </c>
      <c r="Y666" s="273">
        <v>-1.1100000000000001</v>
      </c>
      <c r="Z666" s="273">
        <f ca="1">[1]ExtEntry!$L70</f>
        <v>-1.1100000000000001</v>
      </c>
      <c r="AB666" s="330">
        <v>1.0932938341723679</v>
      </c>
      <c r="AC666" s="330">
        <v>1.0916967561761546</v>
      </c>
      <c r="AD666" s="330">
        <v>1.0919782543297951</v>
      </c>
      <c r="AE666" s="330">
        <v>1.0938586249946189</v>
      </c>
      <c r="AF666" s="330">
        <v>1.0938586249946189</v>
      </c>
      <c r="AG666" s="330">
        <v>1.0853084742866905</v>
      </c>
      <c r="AH666" s="330">
        <v>1.0790403431289282</v>
      </c>
      <c r="AI666" s="330">
        <v>1.0798657883552911</v>
      </c>
      <c r="AJ666" s="330">
        <v>1.0760244770051666</v>
      </c>
      <c r="AK666" s="330">
        <v>1.0851230782371029</v>
      </c>
      <c r="AL666" s="330">
        <v>1.0732067072140565</v>
      </c>
      <c r="AM666" s="330">
        <v>1.0878175357479236</v>
      </c>
      <c r="AN666" s="330">
        <v>1.0892164780521263</v>
      </c>
      <c r="AO666" s="330">
        <v>1.0823497188618163</v>
      </c>
      <c r="AP666" s="330">
        <v>1.0693225317734198</v>
      </c>
      <c r="AQ666" s="330">
        <v>1.1126383372601818</v>
      </c>
      <c r="AR666" s="330">
        <v>1.1266695637355146</v>
      </c>
      <c r="AS666" s="330">
        <v>1.1416503194612331</v>
      </c>
      <c r="AT666" s="330">
        <v>1.1287373767553033</v>
      </c>
      <c r="AU666" s="330">
        <v>1.1401736656031733</v>
      </c>
      <c r="AV666" s="330">
        <f ca="1">Calc!AP70</f>
        <v>1.1401736656031733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0.18</v>
      </c>
      <c r="G667" s="273">
        <v>0.11</v>
      </c>
      <c r="H667" s="273">
        <v>4.2299999999999997E-2</v>
      </c>
      <c r="I667" s="273">
        <v>0.73</v>
      </c>
      <c r="J667" s="273">
        <v>0.73</v>
      </c>
      <c r="K667" s="273">
        <v>-0.26</v>
      </c>
      <c r="L667" s="273">
        <v>-9.5000000000000001E-2</v>
      </c>
      <c r="M667" s="273">
        <v>0.52</v>
      </c>
      <c r="N667" s="273">
        <v>-0.06</v>
      </c>
      <c r="O667" s="273">
        <v>-0.75</v>
      </c>
      <c r="P667" s="273">
        <v>0.1</v>
      </c>
      <c r="Q667" s="273">
        <v>-0.51</v>
      </c>
      <c r="R667" s="273">
        <v>-0.26</v>
      </c>
      <c r="S667" s="273">
        <v>-0.78</v>
      </c>
      <c r="T667" s="273">
        <v>0.4</v>
      </c>
      <c r="U667" s="273">
        <v>-0.03</v>
      </c>
      <c r="V667" s="273">
        <v>-0.18</v>
      </c>
      <c r="W667" s="273">
        <v>-0.66500000000000004</v>
      </c>
      <c r="X667" s="273">
        <v>1.35</v>
      </c>
      <c r="Y667" s="273">
        <v>-0.20499999999999999</v>
      </c>
      <c r="Z667" s="273">
        <f ca="1">[1]ExtEntry!$L71</f>
        <v>-0.20499999999999999</v>
      </c>
      <c r="AB667" s="330">
        <v>0.96578748206599718</v>
      </c>
      <c r="AC667" s="330">
        <v>0.95263240757120116</v>
      </c>
      <c r="AD667" s="330">
        <v>0.95563641590494097</v>
      </c>
      <c r="AE667" s="330">
        <v>0.94544083567415738</v>
      </c>
      <c r="AF667" s="330">
        <v>0.94544083567415738</v>
      </c>
      <c r="AG667" s="330">
        <v>0.94810404929577474</v>
      </c>
      <c r="AH667" s="330">
        <v>0.92410656370656374</v>
      </c>
      <c r="AI667" s="330">
        <v>0.91585561224489809</v>
      </c>
      <c r="AJ667" s="330">
        <v>0.91679111338100105</v>
      </c>
      <c r="AK667" s="330">
        <v>0.92848810344827593</v>
      </c>
      <c r="AL667" s="330">
        <v>0.91913824884792628</v>
      </c>
      <c r="AM667" s="330">
        <v>0.92720919421487613</v>
      </c>
      <c r="AN667" s="330">
        <v>0.92418585893255534</v>
      </c>
      <c r="AO667" s="330">
        <v>0.93250753246753249</v>
      </c>
      <c r="AP667" s="330">
        <v>0.92609303525365438</v>
      </c>
      <c r="AQ667" s="330">
        <v>0.98214285714285721</v>
      </c>
      <c r="AR667" s="330">
        <v>0.98586694243364359</v>
      </c>
      <c r="AS667" s="330">
        <v>0.99747144476414695</v>
      </c>
      <c r="AT667" s="330">
        <v>0.97461237008008184</v>
      </c>
      <c r="AU667" s="330">
        <v>0.97769421416972913</v>
      </c>
      <c r="AV667" s="330">
        <f ca="1">Calc!AP71</f>
        <v>0.97769421416972913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-0.4</v>
      </c>
      <c r="G668" s="273">
        <v>2</v>
      </c>
      <c r="H668" s="273">
        <v>1.4</v>
      </c>
      <c r="I668" s="273">
        <v>3.9</v>
      </c>
      <c r="J668" s="273">
        <v>3.9</v>
      </c>
      <c r="K668" s="273">
        <v>-6.1</v>
      </c>
      <c r="L668" s="273">
        <v>8.8000000000000007</v>
      </c>
      <c r="M668" s="273">
        <v>-2</v>
      </c>
      <c r="N668" s="273">
        <v>-8</v>
      </c>
      <c r="O668" s="273">
        <v>4.9000000000000004</v>
      </c>
      <c r="P668" s="273">
        <v>7.7</v>
      </c>
      <c r="Q668" s="273">
        <v>-15.6</v>
      </c>
      <c r="R668" s="273">
        <v>10.084</v>
      </c>
      <c r="S668" s="273">
        <v>-0.3</v>
      </c>
      <c r="T668" s="273">
        <v>0.8</v>
      </c>
      <c r="U668" s="273">
        <v>3.5</v>
      </c>
      <c r="V668" s="273">
        <v>3.7</v>
      </c>
      <c r="W668" s="273">
        <v>-16.2</v>
      </c>
      <c r="X668" s="273">
        <v>0.6</v>
      </c>
      <c r="Y668" s="273">
        <v>-0.3</v>
      </c>
      <c r="Z668" s="273">
        <f ca="1">[1]ExtEntry!$L72</f>
        <v>-0.3</v>
      </c>
      <c r="AB668" s="330">
        <v>1.0534310416666666</v>
      </c>
      <c r="AC668" s="330">
        <v>1.0479728497409326</v>
      </c>
      <c r="AD668" s="330">
        <v>1.0401581897660068</v>
      </c>
      <c r="AE668" s="330">
        <v>1.0269548616400102</v>
      </c>
      <c r="AF668" s="330">
        <v>1.0269548616400102</v>
      </c>
      <c r="AG668" s="330">
        <v>1.043108612686952</v>
      </c>
      <c r="AH668" s="330">
        <v>1.025133096806893</v>
      </c>
      <c r="AI668" s="330">
        <v>1.0303553744268976</v>
      </c>
      <c r="AJ668" s="330">
        <v>1.0517876235049402</v>
      </c>
      <c r="AK668" s="330">
        <v>1.038555892169448</v>
      </c>
      <c r="AL668" s="330">
        <v>1.0377565931246793</v>
      </c>
      <c r="AM668" s="330">
        <v>1.0701521693121694</v>
      </c>
      <c r="AN668" s="330">
        <v>1.0348786852365408</v>
      </c>
      <c r="AO668" s="330">
        <v>1.035366060916304</v>
      </c>
      <c r="AP668" s="330">
        <v>1.0351011258955987</v>
      </c>
      <c r="AQ668" s="330">
        <v>1.1056263318112634</v>
      </c>
      <c r="AR668" s="330">
        <v>1.0953453128926867</v>
      </c>
      <c r="AS668" s="330">
        <v>1.1418336389834949</v>
      </c>
      <c r="AT668" s="330">
        <v>1.1400415903740517</v>
      </c>
      <c r="AU668" s="330">
        <v>1.1409369109947645</v>
      </c>
      <c r="AV668" s="330">
        <f ca="1">Calc!AP72</f>
        <v>1.1409369109947645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-0.27010000000000001</v>
      </c>
      <c r="G669" s="273">
        <v>1.1299999999999999</v>
      </c>
      <c r="H669" s="273">
        <v>1.4999999999999999E-2</v>
      </c>
      <c r="I669" s="273">
        <v>-0.155</v>
      </c>
      <c r="J669" s="273">
        <v>-0.155</v>
      </c>
      <c r="K669" s="273">
        <v>-1.02</v>
      </c>
      <c r="L669" s="273">
        <v>-1.77</v>
      </c>
      <c r="M669" s="273">
        <v>-0.62</v>
      </c>
      <c r="N669" s="273">
        <v>0.37</v>
      </c>
      <c r="O669" s="273">
        <v>-0.65500000000000003</v>
      </c>
      <c r="P669" s="273">
        <v>-0.38</v>
      </c>
      <c r="Q669" s="273">
        <v>-0.61</v>
      </c>
      <c r="R669" s="273">
        <v>0.09</v>
      </c>
      <c r="S669" s="273">
        <v>-0.14000000000000001</v>
      </c>
      <c r="T669" s="273">
        <v>0.23</v>
      </c>
      <c r="U669" s="273">
        <v>-0.31</v>
      </c>
      <c r="V669" s="273">
        <v>-0.36</v>
      </c>
      <c r="W669" s="273">
        <v>-0.16</v>
      </c>
      <c r="X669" s="273">
        <v>1.07</v>
      </c>
      <c r="Y669" s="273">
        <v>-1.88</v>
      </c>
      <c r="Z669" s="273">
        <f ca="1">[1]ExtEntry!$L73</f>
        <v>-1.88</v>
      </c>
      <c r="AB669" s="330">
        <v>1.7877944695509749</v>
      </c>
      <c r="AC669" s="330">
        <v>1.7106725377426313</v>
      </c>
      <c r="AD669" s="330">
        <v>1.69755341537364</v>
      </c>
      <c r="AE669" s="330">
        <v>1.7036302129944516</v>
      </c>
      <c r="AF669" s="330">
        <v>1.7036302129944516</v>
      </c>
      <c r="AG669" s="330">
        <v>1.7698367422833767</v>
      </c>
      <c r="AH669" s="330">
        <v>1.8773534516765285</v>
      </c>
      <c r="AI669" s="330">
        <v>1.9244201374848362</v>
      </c>
      <c r="AJ669" s="330">
        <v>1.8960521912350596</v>
      </c>
      <c r="AK669" s="330">
        <v>1.9468566168950705</v>
      </c>
      <c r="AL669" s="330">
        <v>1.9755462847654628</v>
      </c>
      <c r="AM669" s="330">
        <v>2.0268701022146507</v>
      </c>
      <c r="AN669" s="330">
        <v>1.9600869028006589</v>
      </c>
      <c r="AO669" s="330">
        <v>1.9788320166320166</v>
      </c>
      <c r="AP669" s="330">
        <v>1.9600869028006589</v>
      </c>
      <c r="AQ669" s="330">
        <v>1.7821184051550545</v>
      </c>
      <c r="AR669" s="330">
        <v>1.8083367388639151</v>
      </c>
      <c r="AS669" s="330">
        <v>1.8202385849444673</v>
      </c>
      <c r="AT669" s="330">
        <v>1.7434988179669031</v>
      </c>
      <c r="AU669" s="330">
        <v>1.8821777966822628</v>
      </c>
      <c r="AV669" s="330">
        <f ca="1">Calc!AP73</f>
        <v>1.8821777966822628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-2.5899999999999999E-2</v>
      </c>
      <c r="G670" s="273">
        <v>1.6299999999999999E-2</v>
      </c>
      <c r="H670" s="273">
        <v>0.08</v>
      </c>
      <c r="I670" s="273">
        <v>-9.98E-2</v>
      </c>
      <c r="J670" s="273">
        <v>-9.98E-2</v>
      </c>
      <c r="K670" s="273">
        <v>-1.1900000000000001E-2</v>
      </c>
      <c r="L670" s="273">
        <v>0.03</v>
      </c>
      <c r="M670" s="273">
        <v>0.01</v>
      </c>
      <c r="N670" s="273">
        <v>0.03</v>
      </c>
      <c r="O670" s="273">
        <v>1.4999999999999999E-2</v>
      </c>
      <c r="P670" s="273">
        <v>-0.04</v>
      </c>
      <c r="Q670" s="273">
        <v>-6.5000000000000002E-2</v>
      </c>
      <c r="R670" s="273">
        <v>3.5000000000000003E-2</v>
      </c>
      <c r="S670" s="273">
        <v>-0.01</v>
      </c>
      <c r="T670" s="273">
        <v>-7.0000000000000007E-2</v>
      </c>
      <c r="U670" s="273">
        <v>0.08</v>
      </c>
      <c r="V670" s="273">
        <v>0.04</v>
      </c>
      <c r="W670" s="273">
        <v>-0.01</v>
      </c>
      <c r="X670" s="273">
        <v>0.115</v>
      </c>
      <c r="Y670" s="273">
        <v>0.09</v>
      </c>
      <c r="Z670" s="273">
        <f ca="1">[1]ExtEntry!$L74</f>
        <v>0.09</v>
      </c>
      <c r="AB670" s="330">
        <v>2.4587476778494155</v>
      </c>
      <c r="AC670" s="330">
        <v>2.3479077533131587</v>
      </c>
      <c r="AD670" s="330">
        <v>2.2056661111655722</v>
      </c>
      <c r="AE670" s="330">
        <v>2.4188346592130725</v>
      </c>
      <c r="AF670" s="330">
        <v>2.4188346592130725</v>
      </c>
      <c r="AG670" s="330">
        <v>2.4504465258113699</v>
      </c>
      <c r="AH670" s="330">
        <v>2.25</v>
      </c>
      <c r="AI670" s="330">
        <v>2.2277227722772279</v>
      </c>
      <c r="AJ670" s="330">
        <v>2.1634615384615383</v>
      </c>
      <c r="AK670" s="330">
        <v>2.2748815165876777</v>
      </c>
      <c r="AL670" s="330">
        <v>2.0338983050847457</v>
      </c>
      <c r="AM670" s="330">
        <v>2.1524663677130045</v>
      </c>
      <c r="AN670" s="330">
        <v>2.1145374449339207</v>
      </c>
      <c r="AO670" s="330">
        <v>2.2018348623853208</v>
      </c>
      <c r="AP670" s="330">
        <v>2.3529411764705883</v>
      </c>
      <c r="AQ670" s="330">
        <v>2.1818181818181817</v>
      </c>
      <c r="AR670" s="330">
        <v>2.1052631578947367</v>
      </c>
      <c r="AS670" s="330">
        <v>2.1238938053097347</v>
      </c>
      <c r="AT670" s="330">
        <v>1.9277108433734937</v>
      </c>
      <c r="AU670" s="330">
        <v>1.7910447761194028</v>
      </c>
      <c r="AV670" s="330">
        <f ca="1">Calc!AP74</f>
        <v>1.7910447761194028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3.2000000000000001E-2</v>
      </c>
      <c r="G671" s="273">
        <v>3.2000000000000001E-2</v>
      </c>
      <c r="H671" s="273">
        <v>-4.2000000000000003E-2</v>
      </c>
      <c r="I671" s="273">
        <v>5.3999999999999999E-2</v>
      </c>
      <c r="J671" s="273">
        <v>5.3999999999999999E-2</v>
      </c>
      <c r="K671" s="273">
        <v>8.4000000000000005E-2</v>
      </c>
      <c r="L671" s="273">
        <v>1.7999999999999999E-2</v>
      </c>
      <c r="M671" s="273">
        <v>-5.6000000000000001E-2</v>
      </c>
      <c r="N671" s="273">
        <v>3.4000000000000002E-2</v>
      </c>
      <c r="O671" s="273">
        <v>-5.1999999999999998E-2</v>
      </c>
      <c r="P671" s="273">
        <v>0.1</v>
      </c>
      <c r="Q671" s="273">
        <v>-0.19400000000000001</v>
      </c>
      <c r="R671" s="273">
        <v>-0.24199999999999999</v>
      </c>
      <c r="S671" s="273">
        <v>0.03</v>
      </c>
      <c r="T671" s="273">
        <v>-4.5999999999999999E-2</v>
      </c>
      <c r="U671" s="273">
        <v>6.2E-2</v>
      </c>
      <c r="V671" s="273">
        <v>0.25600000000000001</v>
      </c>
      <c r="W671" s="273">
        <v>1.4E-2</v>
      </c>
      <c r="X671" s="273">
        <v>-3.5999999999999997E-2</v>
      </c>
      <c r="Y671" s="273">
        <v>-0.04</v>
      </c>
      <c r="Z671" s="273">
        <f ca="1">[1]ExtEntry!$L75</f>
        <v>-0.04</v>
      </c>
      <c r="AB671" s="330">
        <v>1.0172321667111943</v>
      </c>
      <c r="AC671" s="330">
        <v>1.0172321667111943</v>
      </c>
      <c r="AD671" s="330">
        <v>1.0200937709310114</v>
      </c>
      <c r="AE671" s="330">
        <v>1.0151979736035195</v>
      </c>
      <c r="AF671" s="330">
        <v>1.0151979736035195</v>
      </c>
      <c r="AG671" s="330">
        <v>1.0095452737637545</v>
      </c>
      <c r="AH671" s="330">
        <v>0.9989505444050899</v>
      </c>
      <c r="AI671" s="330">
        <v>1.0026333113890717</v>
      </c>
      <c r="AJ671" s="330">
        <v>1.0003941145559643</v>
      </c>
      <c r="AK671" s="330">
        <v>1.003822831531769</v>
      </c>
      <c r="AL671" s="330">
        <v>0.99269977838612955</v>
      </c>
      <c r="AM671" s="330">
        <v>1.0070087278497752</v>
      </c>
      <c r="AN671" s="330">
        <v>1.0207774798927614</v>
      </c>
      <c r="AO671" s="330">
        <v>1.0209143316798499</v>
      </c>
      <c r="AP671" s="330">
        <v>1.0233839537696547</v>
      </c>
      <c r="AQ671" s="330">
        <v>1.036900871459695</v>
      </c>
      <c r="AR671" s="330">
        <v>1.0191381156316917</v>
      </c>
      <c r="AS671" s="330">
        <v>1.0181842492311806</v>
      </c>
      <c r="AT671" s="330">
        <v>1.0206406647902426</v>
      </c>
      <c r="AU671" s="330">
        <v>1.0233839537696547</v>
      </c>
      <c r="AV671" s="330">
        <f ca="1">Calc!AP75</f>
        <v>1.0233839537696547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7</v>
      </c>
      <c r="G672" s="273">
        <v>4.7949999999999999</v>
      </c>
      <c r="H672" s="273">
        <v>-5.2</v>
      </c>
      <c r="I672" s="273">
        <v>6.8</v>
      </c>
      <c r="J672" s="273">
        <v>6.8</v>
      </c>
      <c r="K672" s="273">
        <v>-10.199999999999999</v>
      </c>
      <c r="L672" s="273">
        <v>7.8</v>
      </c>
      <c r="M672" s="273">
        <v>-4.5999999999999996</v>
      </c>
      <c r="N672" s="273">
        <v>-15.8</v>
      </c>
      <c r="O672" s="273">
        <v>4</v>
      </c>
      <c r="P672" s="273">
        <v>1.5</v>
      </c>
      <c r="Q672" s="273">
        <v>-11.045</v>
      </c>
      <c r="R672" s="273">
        <v>11.8</v>
      </c>
      <c r="S672" s="273">
        <v>-15.736599999999999</v>
      </c>
      <c r="T672" s="273">
        <v>2.4</v>
      </c>
      <c r="U672" s="273">
        <v>-1</v>
      </c>
      <c r="V672" s="273">
        <v>2.6</v>
      </c>
      <c r="W672" s="273">
        <v>-10.3</v>
      </c>
      <c r="X672" s="273">
        <v>4.5</v>
      </c>
      <c r="Y672" s="273">
        <v>3.7</v>
      </c>
      <c r="Z672" s="273">
        <f ca="1">[1]ExtEntry!$L76</f>
        <v>3.7</v>
      </c>
      <c r="AB672" s="330">
        <v>1.3635432147047322</v>
      </c>
      <c r="AC672" s="330">
        <v>1.2760294074913547</v>
      </c>
      <c r="AD672" s="330">
        <v>1.290011750881316</v>
      </c>
      <c r="AE672" s="330">
        <v>1.2701118395680677</v>
      </c>
      <c r="AF672" s="330">
        <v>1.2701118395680677</v>
      </c>
      <c r="AG672" s="330">
        <v>1.2955940204563337</v>
      </c>
      <c r="AH672" s="330">
        <v>1.290011750881316</v>
      </c>
      <c r="AI672" s="330">
        <v>1.3017391304347825</v>
      </c>
      <c r="AJ672" s="330">
        <v>1.3436964504283966</v>
      </c>
      <c r="AK672" s="330">
        <v>1.3328207203561311</v>
      </c>
      <c r="AL672" s="330">
        <v>1.3412339645693341</v>
      </c>
      <c r="AM672" s="330">
        <v>1.377544938356809</v>
      </c>
      <c r="AN672" s="330">
        <v>1.3453431372549018</v>
      </c>
      <c r="AO672" s="330">
        <v>1.3982831185780937</v>
      </c>
      <c r="AP672" s="330">
        <v>1.4053339022829101</v>
      </c>
      <c r="AQ672" s="330">
        <v>1.4050341296928326</v>
      </c>
      <c r="AR672" s="330">
        <v>1.3972846839202375</v>
      </c>
      <c r="AS672" s="330">
        <v>1.4284970722186074</v>
      </c>
      <c r="AT672" s="330">
        <v>1.4146907216494844</v>
      </c>
      <c r="AU672" s="330">
        <v>1.4035371830385679</v>
      </c>
      <c r="AV672" s="330">
        <f ca="1">Calc!AP76</f>
        <v>1.4035371830385679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-0.14000000000000001</v>
      </c>
      <c r="G673" s="273">
        <v>5.0000000000000001E-3</v>
      </c>
      <c r="H673" s="273">
        <v>5.0000000000000001E-3</v>
      </c>
      <c r="I673" s="273">
        <v>0.1144</v>
      </c>
      <c r="J673" s="273">
        <v>0.1144</v>
      </c>
      <c r="K673" s="273">
        <v>-0.09</v>
      </c>
      <c r="L673" s="273">
        <v>4.4999999999999998E-2</v>
      </c>
      <c r="M673" s="273">
        <v>1.4999999999999999E-2</v>
      </c>
      <c r="N673" s="273">
        <v>7.0999999999999994E-2</v>
      </c>
      <c r="O673" s="273">
        <v>-0.23499999999999999</v>
      </c>
      <c r="P673" s="273">
        <v>0.06</v>
      </c>
      <c r="Q673" s="273">
        <v>-0.06</v>
      </c>
      <c r="R673" s="273">
        <v>-9.01E-2</v>
      </c>
      <c r="S673" s="273">
        <v>-0.1</v>
      </c>
      <c r="T673" s="273">
        <v>0.06</v>
      </c>
      <c r="U673" s="273">
        <v>-6.5000000000000002E-2</v>
      </c>
      <c r="V673" s="273">
        <v>-0.19</v>
      </c>
      <c r="W673" s="273">
        <v>-0.06</v>
      </c>
      <c r="X673" s="273">
        <v>0.33500000000000002</v>
      </c>
      <c r="Y673" s="273">
        <v>-0.08</v>
      </c>
      <c r="Z673" s="273">
        <f ca="1">[1]ExtEntry!$L77</f>
        <v>-0.08</v>
      </c>
      <c r="AB673" s="330">
        <v>0.95486725663716798</v>
      </c>
      <c r="AC673" s="330">
        <v>0.94276976845784177</v>
      </c>
      <c r="AD673" s="330">
        <v>0.94276976845784177</v>
      </c>
      <c r="AE673" s="330">
        <v>0.93222974841028461</v>
      </c>
      <c r="AF673" s="330">
        <v>0.93222974841028461</v>
      </c>
      <c r="AG673" s="330">
        <v>0.93907745865970405</v>
      </c>
      <c r="AH673" s="330">
        <v>0.91557064064488747</v>
      </c>
      <c r="AI673" s="330">
        <v>0.91170257710181646</v>
      </c>
      <c r="AJ673" s="330">
        <v>0.90588531609436651</v>
      </c>
      <c r="AK673" s="330">
        <v>0.92419700214132749</v>
      </c>
      <c r="AL673" s="330">
        <v>0.91673746813933721</v>
      </c>
      <c r="AM673" s="330">
        <v>0.92143467122117839</v>
      </c>
      <c r="AN673" s="330">
        <v>0.92778097834031248</v>
      </c>
      <c r="AO673" s="330">
        <v>0.9285714285714286</v>
      </c>
      <c r="AP673" s="330">
        <v>0.92380136986301364</v>
      </c>
      <c r="AQ673" s="330">
        <v>0.92419700214132749</v>
      </c>
      <c r="AR673" s="330">
        <v>0.93826086956521737</v>
      </c>
      <c r="AS673" s="330">
        <v>0.94400699912510933</v>
      </c>
      <c r="AT673" s="330">
        <v>0.91790727350063794</v>
      </c>
      <c r="AU673" s="330">
        <v>0.92380136986301364</v>
      </c>
      <c r="AV673" s="330">
        <f ca="1">Calc!AP77</f>
        <v>0.92380136986301364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0.78</v>
      </c>
      <c r="G674" s="273">
        <v>0.16</v>
      </c>
      <c r="H674" s="273">
        <v>-0.78</v>
      </c>
      <c r="I674" s="273">
        <v>0.56000000000000005</v>
      </c>
      <c r="J674" s="273">
        <v>0.56000000000000005</v>
      </c>
      <c r="K674" s="273">
        <v>-0.9</v>
      </c>
      <c r="L674" s="273">
        <v>-2.02</v>
      </c>
      <c r="M674" s="273">
        <v>-3.82</v>
      </c>
      <c r="N674" s="273">
        <v>0</v>
      </c>
      <c r="O674" s="273">
        <v>0.64</v>
      </c>
      <c r="P674" s="273">
        <v>0.42</v>
      </c>
      <c r="Q674" s="273">
        <v>-0.92</v>
      </c>
      <c r="R674" s="273">
        <v>0.24</v>
      </c>
      <c r="S674" s="273">
        <v>0.56000000000000005</v>
      </c>
      <c r="T674" s="273">
        <v>-0.14000000000000001</v>
      </c>
      <c r="U674" s="273">
        <v>0.72</v>
      </c>
      <c r="V674" s="273">
        <v>0.56000000000000005</v>
      </c>
      <c r="W674" s="273">
        <v>1.5</v>
      </c>
      <c r="X674" s="273">
        <v>1.78</v>
      </c>
      <c r="Y674" s="273">
        <v>-0.34</v>
      </c>
      <c r="Z674" s="273">
        <f ca="1">[1]ExtEntry!$L78</f>
        <v>-0.34</v>
      </c>
      <c r="AB674" s="330">
        <v>0.8875499145299145</v>
      </c>
      <c r="AC674" s="330">
        <v>1.0189226048414595</v>
      </c>
      <c r="AD674" s="330">
        <v>1.0305172413793104</v>
      </c>
      <c r="AE674" s="330">
        <v>1.0248628257887518</v>
      </c>
      <c r="AF674" s="330">
        <v>1.0248628257887518</v>
      </c>
      <c r="AG674" s="330">
        <v>1.0409265064437478</v>
      </c>
      <c r="AH674" s="330">
        <v>1.07076316732354</v>
      </c>
      <c r="AI674" s="330">
        <v>1.1494230769230769</v>
      </c>
      <c r="AJ674" s="330">
        <v>1.1494230769230769</v>
      </c>
      <c r="AK674" s="330">
        <v>1.1529255319148937</v>
      </c>
      <c r="AL674" s="330">
        <v>1.1420775310500564</v>
      </c>
      <c r="AM674" s="330">
        <v>1.1608645753634277</v>
      </c>
      <c r="AN674" s="330">
        <v>1.1507394766780432</v>
      </c>
      <c r="AO674" s="330">
        <v>1.1369426751592355</v>
      </c>
      <c r="AP674" s="330">
        <v>1.1251390433815351</v>
      </c>
      <c r="AQ674" s="330">
        <v>1.12890625</v>
      </c>
      <c r="AR674" s="330">
        <v>1.1172680412371134</v>
      </c>
      <c r="AS674" s="330">
        <v>1.087244715155858</v>
      </c>
      <c r="AT674" s="330">
        <v>1.0536458333333332</v>
      </c>
      <c r="AU674" s="330">
        <v>1.0599022004889975</v>
      </c>
      <c r="AV674" s="330">
        <f ca="1">Calc!AP78</f>
        <v>1.0599022004889975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-5.37</v>
      </c>
      <c r="G675" s="273">
        <v>-0.81</v>
      </c>
      <c r="H675" s="273">
        <v>-0.5161</v>
      </c>
      <c r="I675" s="273">
        <v>0.75</v>
      </c>
      <c r="J675" s="273">
        <v>0.75</v>
      </c>
      <c r="K675" s="273">
        <v>-9.4600000000000009</v>
      </c>
      <c r="L675" s="273">
        <v>-1.36</v>
      </c>
      <c r="M675" s="273">
        <v>-3.89</v>
      </c>
      <c r="N675" s="273">
        <v>-2.4</v>
      </c>
      <c r="O675" s="273">
        <v>0.2</v>
      </c>
      <c r="P675" s="273">
        <v>-1.67</v>
      </c>
      <c r="Q675" s="273">
        <v>-6.5350000000000001</v>
      </c>
      <c r="R675" s="273">
        <v>-3.2349999999999999</v>
      </c>
      <c r="S675" s="273">
        <v>-4.37</v>
      </c>
      <c r="T675" s="273">
        <v>3.04</v>
      </c>
      <c r="U675" s="273">
        <v>2.68</v>
      </c>
      <c r="V675" s="273">
        <v>-2.17</v>
      </c>
      <c r="W675" s="273">
        <v>3.21</v>
      </c>
      <c r="X675" s="273">
        <v>3.08</v>
      </c>
      <c r="Y675" s="273">
        <v>-3.49</v>
      </c>
      <c r="Z675" s="273">
        <f ca="1">[1]ExtEntry!$L79</f>
        <v>-3.49</v>
      </c>
      <c r="AB675" s="330">
        <v>0.76973197285801109</v>
      </c>
      <c r="AC675" s="330">
        <v>0.76709058336697622</v>
      </c>
      <c r="AD675" s="330">
        <v>0.76661125789839735</v>
      </c>
      <c r="AE675" s="330">
        <v>0.76427507667554939</v>
      </c>
      <c r="AF675" s="330">
        <v>0.76427507667554939</v>
      </c>
      <c r="AG675" s="330">
        <v>0.80163838202721238</v>
      </c>
      <c r="AH675" s="330">
        <v>0.78645835057947022</v>
      </c>
      <c r="AI675" s="330">
        <v>0.80261191192776826</v>
      </c>
      <c r="AJ675" s="330">
        <v>0.81321779370853853</v>
      </c>
      <c r="AK675" s="330">
        <v>0.81204482077034035</v>
      </c>
      <c r="AL675" s="330">
        <v>0.82054882591093126</v>
      </c>
      <c r="AM675" s="330">
        <v>0.85055350698038779</v>
      </c>
      <c r="AN675" s="330">
        <v>0.86232687562047938</v>
      </c>
      <c r="AO675" s="330">
        <v>0.86791521068859212</v>
      </c>
      <c r="AP675" s="330">
        <v>0.85310736334044235</v>
      </c>
      <c r="AQ675" s="330">
        <v>1.1115338623763453</v>
      </c>
      <c r="AR675" s="330">
        <v>1.1248624862486247</v>
      </c>
      <c r="AS675" s="330">
        <v>1.1053456569915141</v>
      </c>
      <c r="AT675" s="330">
        <v>1.0872454675953001</v>
      </c>
      <c r="AU675" s="330">
        <v>1.1091826219016108</v>
      </c>
      <c r="AV675" s="330">
        <f ca="1">Calc!AP79</f>
        <v>1.1091826219016108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-4.9800000000000004</v>
      </c>
      <c r="G676" s="273">
        <v>-13.66</v>
      </c>
      <c r="H676" s="273">
        <v>-2.86</v>
      </c>
      <c r="I676" s="273">
        <v>-9.4749999999999996</v>
      </c>
      <c r="J676" s="273">
        <v>-9.4749999999999996</v>
      </c>
      <c r="K676" s="273">
        <v>-1.3</v>
      </c>
      <c r="L676" s="273">
        <v>-3.1</v>
      </c>
      <c r="M676" s="273">
        <v>10.36</v>
      </c>
      <c r="N676" s="273">
        <v>0.34</v>
      </c>
      <c r="O676" s="273">
        <v>-0.95499999999999996</v>
      </c>
      <c r="P676" s="273">
        <v>-1.97</v>
      </c>
      <c r="Q676" s="273">
        <v>-18.625</v>
      </c>
      <c r="R676" s="273">
        <v>-4.6050000000000004</v>
      </c>
      <c r="S676" s="273">
        <v>-0.28999999999999998</v>
      </c>
      <c r="T676" s="273">
        <v>18.34</v>
      </c>
      <c r="U676" s="273">
        <v>3.36</v>
      </c>
      <c r="V676" s="273">
        <v>22.01</v>
      </c>
      <c r="W676" s="273">
        <v>5.84</v>
      </c>
      <c r="X676" s="273">
        <v>15.58</v>
      </c>
      <c r="Y676" s="273">
        <v>-4.9370000000000003</v>
      </c>
      <c r="Z676" s="273">
        <f ca="1">[1]ExtEntry!$L80</f>
        <v>-4.9370000000000003</v>
      </c>
      <c r="AB676" s="330">
        <v>0.80216355058063282</v>
      </c>
      <c r="AC676" s="330">
        <v>0.80891076151266461</v>
      </c>
      <c r="AD676" s="330">
        <v>0.81522325721979494</v>
      </c>
      <c r="AE676" s="330">
        <v>0.82242652307393771</v>
      </c>
      <c r="AF676" s="330">
        <v>0.82242652307393771</v>
      </c>
      <c r="AG676" s="330">
        <v>0.82403121875347174</v>
      </c>
      <c r="AH676" s="330">
        <v>0.80316246836042715</v>
      </c>
      <c r="AI676" s="330">
        <v>0.79205552960021353</v>
      </c>
      <c r="AJ676" s="330">
        <v>0.7919075391370497</v>
      </c>
      <c r="AK676" s="330">
        <v>0.7925157102502286</v>
      </c>
      <c r="AL676" s="330">
        <v>0.79620046964105995</v>
      </c>
      <c r="AM676" s="330">
        <v>0.81660884225012897</v>
      </c>
      <c r="AN676" s="330">
        <v>0.81703612417297189</v>
      </c>
      <c r="AO676" s="330">
        <v>0.81221035917652207</v>
      </c>
      <c r="AP676" s="330">
        <v>0.79231993590599537</v>
      </c>
      <c r="AQ676" s="330">
        <v>0.95820893509715865</v>
      </c>
      <c r="AR676" s="330">
        <v>0.9302476893671614</v>
      </c>
      <c r="AS676" s="330">
        <v>0.92311759509457492</v>
      </c>
      <c r="AT676" s="330">
        <v>0.90501171735697183</v>
      </c>
      <c r="AU676" s="330">
        <v>0.91124054717085168</v>
      </c>
      <c r="AV676" s="330">
        <f ca="1">Calc!AP80</f>
        <v>0.91124054717085168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-7.4999999999999997E-2</v>
      </c>
      <c r="G677" s="273">
        <v>-0.125</v>
      </c>
      <c r="H677" s="273">
        <v>-0.1363</v>
      </c>
      <c r="I677" s="273">
        <v>-0.1825</v>
      </c>
      <c r="J677" s="273">
        <v>-0.1825</v>
      </c>
      <c r="K677" s="273">
        <v>-5.0000000000000001E-3</v>
      </c>
      <c r="L677" s="273">
        <v>-0.06</v>
      </c>
      <c r="M677" s="273">
        <v>-0.1</v>
      </c>
      <c r="N677" s="273">
        <v>0</v>
      </c>
      <c r="O677" s="273">
        <v>-5.4199999999999998E-2</v>
      </c>
      <c r="P677" s="273">
        <v>-0.06</v>
      </c>
      <c r="Q677" s="273">
        <v>-9.5000000000000001E-2</v>
      </c>
      <c r="R677" s="273">
        <v>0.02</v>
      </c>
      <c r="S677" s="273">
        <v>0.02</v>
      </c>
      <c r="T677" s="273">
        <v>0.04</v>
      </c>
      <c r="U677" s="273">
        <v>0.05</v>
      </c>
      <c r="V677" s="273">
        <v>0</v>
      </c>
      <c r="W677" s="273">
        <v>-0.03</v>
      </c>
      <c r="X677" s="273">
        <v>0.09</v>
      </c>
      <c r="Y677" s="273">
        <v>0.11</v>
      </c>
      <c r="Z677" s="273">
        <f ca="1">[1]ExtEntry!$L81</f>
        <v>0.11</v>
      </c>
      <c r="AB677" s="330">
        <v>1.2170385395537526</v>
      </c>
      <c r="AC677" s="330">
        <v>1.2847965738758029</v>
      </c>
      <c r="AD677" s="330">
        <v>1.3865138420298564</v>
      </c>
      <c r="AE677" s="330">
        <v>1.5247776365946633</v>
      </c>
      <c r="AF677" s="330">
        <v>1.5247776365946633</v>
      </c>
      <c r="AG677" s="330">
        <v>1.5228426395939088</v>
      </c>
      <c r="AH677" s="330">
        <v>1.5463917525773196</v>
      </c>
      <c r="AI677" s="330">
        <v>1.6304347826086956</v>
      </c>
      <c r="AJ677" s="330">
        <v>1.6304347826086956</v>
      </c>
      <c r="AK677" s="330">
        <v>1.6799193638705341</v>
      </c>
      <c r="AL677" s="330">
        <v>1.7647058823529411</v>
      </c>
      <c r="AM677" s="330">
        <v>1.8691588785046729</v>
      </c>
      <c r="AN677" s="330">
        <v>1.8181818181818183</v>
      </c>
      <c r="AO677" s="330">
        <v>1.8181818181818183</v>
      </c>
      <c r="AP677" s="330">
        <v>1.7751479289940828</v>
      </c>
      <c r="AQ677" s="330">
        <v>1.7543859649122808</v>
      </c>
      <c r="AR677" s="330">
        <v>1.7543859649122808</v>
      </c>
      <c r="AS677" s="330">
        <v>1.7857142857142858</v>
      </c>
      <c r="AT677" s="330">
        <v>1.6949152542372881</v>
      </c>
      <c r="AU677" s="330">
        <v>1.595744680851064</v>
      </c>
      <c r="AV677" s="330">
        <f ca="1">Calc!AP81</f>
        <v>1.595744680851064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-0.51880000000000004</v>
      </c>
      <c r="G678" s="273">
        <v>0.89500000000000002</v>
      </c>
      <c r="H678" s="273">
        <v>-0.16500000000000001</v>
      </c>
      <c r="I678" s="273">
        <v>0.15</v>
      </c>
      <c r="J678" s="273">
        <v>0.15</v>
      </c>
      <c r="K678" s="273">
        <v>-0.41</v>
      </c>
      <c r="L678" s="273">
        <v>-0.255</v>
      </c>
      <c r="M678" s="273">
        <v>0.88500000000000001</v>
      </c>
      <c r="N678" s="273">
        <v>-0.2</v>
      </c>
      <c r="O678" s="273">
        <v>-0.52500000000000002</v>
      </c>
      <c r="P678" s="273">
        <v>-0.08</v>
      </c>
      <c r="Q678" s="273">
        <v>-1.1172</v>
      </c>
      <c r="R678" s="273">
        <v>0.63</v>
      </c>
      <c r="S678" s="273">
        <v>0.26</v>
      </c>
      <c r="T678" s="273">
        <v>-1.21</v>
      </c>
      <c r="U678" s="273">
        <v>0.33</v>
      </c>
      <c r="V678" s="273">
        <v>-0.72</v>
      </c>
      <c r="W678" s="273">
        <v>0.12</v>
      </c>
      <c r="X678" s="273">
        <v>0.69</v>
      </c>
      <c r="Y678" s="273">
        <v>-5.5E-2</v>
      </c>
      <c r="Z678" s="273">
        <f ca="1">[1]ExtEntry!$L82</f>
        <v>-5.5E-2</v>
      </c>
      <c r="AB678" s="330">
        <v>0.9886309899117276</v>
      </c>
      <c r="AC678" s="330">
        <v>0.95284063934166807</v>
      </c>
      <c r="AD678" s="330">
        <v>0.9607467687888942</v>
      </c>
      <c r="AE678" s="330">
        <v>0.95692943420216148</v>
      </c>
      <c r="AF678" s="330">
        <v>0.95692943420216148</v>
      </c>
      <c r="AG678" s="330">
        <v>0.96552277100705586</v>
      </c>
      <c r="AH678" s="330">
        <v>0.92588036290942644</v>
      </c>
      <c r="AI678" s="330">
        <v>0.90121239335428827</v>
      </c>
      <c r="AJ678" s="330">
        <v>0.90677710843373482</v>
      </c>
      <c r="AK678" s="330">
        <v>0.92162865452318998</v>
      </c>
      <c r="AL678" s="330">
        <v>0.91504559270516728</v>
      </c>
      <c r="AM678" s="330">
        <v>0.94721044086738737</v>
      </c>
      <c r="AN678" s="330">
        <v>0.92064220183486234</v>
      </c>
      <c r="AO678" s="330">
        <v>0.93117847200742354</v>
      </c>
      <c r="AP678" s="330">
        <v>0.96738431876606679</v>
      </c>
      <c r="AQ678" s="330">
        <v>1.0107187894073142</v>
      </c>
      <c r="AR678" s="330">
        <v>1.0345272668602776</v>
      </c>
      <c r="AS678" s="330">
        <v>1.0305368048858889</v>
      </c>
      <c r="AT678" s="330">
        <v>1.0081761006289309</v>
      </c>
      <c r="AU678" s="330">
        <v>1.0124743407547767</v>
      </c>
      <c r="AV678" s="330">
        <f ca="1">Calc!AP82</f>
        <v>1.0124743407547767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-1.1000000000000001</v>
      </c>
      <c r="G679" s="273">
        <v>-0.66</v>
      </c>
      <c r="H679" s="273">
        <v>0.21</v>
      </c>
      <c r="I679" s="273">
        <v>1.3216000000000001</v>
      </c>
      <c r="J679" s="273">
        <v>1.3216000000000001</v>
      </c>
      <c r="K679" s="273">
        <v>7.4</v>
      </c>
      <c r="L679" s="273">
        <v>-5.79</v>
      </c>
      <c r="M679" s="273">
        <v>-1.6</v>
      </c>
      <c r="N679" s="273">
        <v>-0.88</v>
      </c>
      <c r="O679" s="273">
        <v>-0.35</v>
      </c>
      <c r="P679" s="273">
        <v>4.8099999999999996</v>
      </c>
      <c r="Q679" s="273">
        <v>-8.5649999999999995</v>
      </c>
      <c r="R679" s="273">
        <v>-0.32</v>
      </c>
      <c r="S679" s="273">
        <v>1.41</v>
      </c>
      <c r="T679" s="273">
        <v>2.36</v>
      </c>
      <c r="U679" s="273">
        <v>2.69</v>
      </c>
      <c r="V679" s="273">
        <v>-2.84</v>
      </c>
      <c r="W679" s="273">
        <v>-4.62</v>
      </c>
      <c r="X679" s="273">
        <v>10.220000000000001</v>
      </c>
      <c r="Y679" s="273">
        <v>-7.85</v>
      </c>
      <c r="Z679" s="273">
        <f ca="1">[1]ExtEntry!$L83</f>
        <v>-7.85</v>
      </c>
      <c r="AB679" s="330">
        <v>1.0776296809986132</v>
      </c>
      <c r="AC679" s="330">
        <v>1.0659866232207169</v>
      </c>
      <c r="AD679" s="330">
        <v>1.0681665549655446</v>
      </c>
      <c r="AE679" s="330">
        <v>1.0616867101104497</v>
      </c>
      <c r="AF679" s="330">
        <v>1.0616867101104497</v>
      </c>
      <c r="AG679" s="330">
        <v>1.0483493278912484</v>
      </c>
      <c r="AH679" s="330">
        <v>1.0478898123640779</v>
      </c>
      <c r="AI679" s="330">
        <v>1.0506529639458428</v>
      </c>
      <c r="AJ679" s="330">
        <v>1.0522181030250708</v>
      </c>
      <c r="AK679" s="330">
        <v>1.0529667462858501</v>
      </c>
      <c r="AL679" s="330">
        <v>1.0441579734247175</v>
      </c>
      <c r="AM679" s="330">
        <v>1.0594005709659551</v>
      </c>
      <c r="AN679" s="330">
        <v>1.0507595300481787</v>
      </c>
      <c r="AO679" s="330">
        <v>1.0476955231930962</v>
      </c>
      <c r="AP679" s="330">
        <v>1.0435444228057216</v>
      </c>
      <c r="AQ679" s="330">
        <v>1.0982118212332386</v>
      </c>
      <c r="AR679" s="330">
        <v>1.1041378306153213</v>
      </c>
      <c r="AS679" s="330">
        <v>1.1124848976492112</v>
      </c>
      <c r="AT679" s="330">
        <v>1.0932013229308006</v>
      </c>
      <c r="AU679" s="330">
        <v>1.1096121402010743</v>
      </c>
      <c r="AV679" s="330">
        <f ca="1">Calc!AP83</f>
        <v>1.1096121402010743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0.19</v>
      </c>
      <c r="G680" s="273">
        <v>-1.4999999999999999E-2</v>
      </c>
      <c r="H680" s="273">
        <v>0.625</v>
      </c>
      <c r="I680" s="273">
        <v>-0.2301</v>
      </c>
      <c r="J680" s="273">
        <v>-0.2301</v>
      </c>
      <c r="K680" s="273">
        <v>-0.78</v>
      </c>
      <c r="L680" s="273">
        <v>-0.32</v>
      </c>
      <c r="M680" s="273">
        <v>-0.02</v>
      </c>
      <c r="N680" s="273">
        <v>0.08</v>
      </c>
      <c r="O680" s="273">
        <v>-0.1</v>
      </c>
      <c r="P680" s="273">
        <v>-0.11</v>
      </c>
      <c r="Q680" s="273">
        <v>0.03</v>
      </c>
      <c r="R680" s="273">
        <v>0.01</v>
      </c>
      <c r="S680" s="273">
        <v>-0.15</v>
      </c>
      <c r="T680" s="273">
        <v>0.39</v>
      </c>
      <c r="U680" s="273">
        <v>-0.17</v>
      </c>
      <c r="V680" s="273">
        <v>0.23</v>
      </c>
      <c r="W680" s="273">
        <v>0</v>
      </c>
      <c r="X680" s="273">
        <v>0.315</v>
      </c>
      <c r="Y680" s="273">
        <v>-0.3</v>
      </c>
      <c r="Z680" s="273">
        <f ca="1">[1]ExtEntry!$L84</f>
        <v>-0.3</v>
      </c>
      <c r="AB680" s="330">
        <v>1.4854612831858409</v>
      </c>
      <c r="AC680" s="330">
        <v>1.4262952734997347</v>
      </c>
      <c r="AD680" s="330">
        <v>1.3158814306712396</v>
      </c>
      <c r="AE680" s="330">
        <v>1.4165307650924588</v>
      </c>
      <c r="AF680" s="330">
        <v>1.4165307650924588</v>
      </c>
      <c r="AG680" s="330">
        <v>1.5364496567505721</v>
      </c>
      <c r="AH680" s="330">
        <v>1.7857140957446811</v>
      </c>
      <c r="AI680" s="330">
        <v>1.7904760000000002</v>
      </c>
      <c r="AJ680" s="330">
        <v>1.7715791556728233</v>
      </c>
      <c r="AK680" s="330">
        <v>1.7952633689839572</v>
      </c>
      <c r="AL680" s="330">
        <v>1.7976666666666667</v>
      </c>
      <c r="AM680" s="330">
        <v>1.7904760000000002</v>
      </c>
      <c r="AN680" s="330">
        <v>1.7762658730158731</v>
      </c>
      <c r="AO680" s="330">
        <v>1.8146716216216217</v>
      </c>
      <c r="AP680" s="330">
        <v>1.7238215661103979</v>
      </c>
      <c r="AQ680" s="330">
        <v>1.6170763260025873</v>
      </c>
      <c r="AR680" s="330">
        <v>1.5703517587939699</v>
      </c>
      <c r="AS680" s="330">
        <v>1.5703517587939699</v>
      </c>
      <c r="AT680" s="330">
        <v>1.5105740181268881</v>
      </c>
      <c r="AU680" s="330">
        <v>1.5664160401002505</v>
      </c>
      <c r="AV680" s="330">
        <f ca="1">Calc!AP84</f>
        <v>1.5664160401002505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0.6</v>
      </c>
      <c r="G681" s="273">
        <v>1.2350000000000001</v>
      </c>
      <c r="H681" s="273">
        <v>0.13</v>
      </c>
      <c r="I681" s="273">
        <v>1.0038</v>
      </c>
      <c r="J681" s="273">
        <v>1.0038</v>
      </c>
      <c r="K681" s="273">
        <v>2.2999999999999998</v>
      </c>
      <c r="L681" s="273">
        <v>-1.92</v>
      </c>
      <c r="M681" s="273">
        <v>1.6</v>
      </c>
      <c r="N681" s="273">
        <v>0.28000000000000003</v>
      </c>
      <c r="O681" s="273">
        <v>-0.49</v>
      </c>
      <c r="P681" s="273">
        <v>0.08</v>
      </c>
      <c r="Q681" s="273">
        <v>-0.65500000000000003</v>
      </c>
      <c r="R681" s="273">
        <v>1.1830000000000001</v>
      </c>
      <c r="S681" s="273">
        <v>1.59</v>
      </c>
      <c r="T681" s="273">
        <v>0.19</v>
      </c>
      <c r="U681" s="273">
        <v>-1.0900000000000001</v>
      </c>
      <c r="V681" s="273">
        <v>-0.65</v>
      </c>
      <c r="W681" s="273">
        <v>-1.49</v>
      </c>
      <c r="X681" s="273">
        <v>1.06</v>
      </c>
      <c r="Y681" s="273">
        <v>-3.5750000000000002</v>
      </c>
      <c r="Z681" s="273">
        <f ca="1">[1]ExtEntry!$L85</f>
        <v>-3.5750000000000002</v>
      </c>
      <c r="AB681" s="330">
        <v>0.92840722495894912</v>
      </c>
      <c r="AC681" s="330">
        <v>0.91692681937968779</v>
      </c>
      <c r="AD681" s="330">
        <v>0.90944185298375413</v>
      </c>
      <c r="AE681" s="330">
        <v>0.90454013876867989</v>
      </c>
      <c r="AF681" s="330">
        <v>0.90454013876867989</v>
      </c>
      <c r="AG681" s="330">
        <v>0.8886444007858546</v>
      </c>
      <c r="AH681" s="330">
        <v>0.90420598112905803</v>
      </c>
      <c r="AI681" s="330">
        <v>0.89292482627921665</v>
      </c>
      <c r="AJ681" s="330">
        <v>0.89095493224078159</v>
      </c>
      <c r="AK681" s="330">
        <v>0.89462025316455696</v>
      </c>
      <c r="AL681" s="330">
        <v>0.8935598577637297</v>
      </c>
      <c r="AM681" s="330">
        <v>0.8982088248143294</v>
      </c>
      <c r="AN681" s="330">
        <v>0.88466082004021185</v>
      </c>
      <c r="AO681" s="330">
        <v>0.88185292053341657</v>
      </c>
      <c r="AP681" s="330">
        <v>0.88054820121476418</v>
      </c>
      <c r="AQ681" s="330">
        <v>0.92152518656716431</v>
      </c>
      <c r="AR681" s="330">
        <v>0.92569889114477588</v>
      </c>
      <c r="AS681" s="330">
        <v>0.93667035398230092</v>
      </c>
      <c r="AT681" s="330">
        <v>0.92896324739440483</v>
      </c>
      <c r="AU681" s="330">
        <v>0.95504531722054387</v>
      </c>
      <c r="AV681" s="330">
        <f ca="1">Calc!AP85</f>
        <v>0.95504531722054387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0.11</v>
      </c>
      <c r="G682" s="273">
        <v>0.04</v>
      </c>
      <c r="H682" s="273">
        <v>0.06</v>
      </c>
      <c r="I682" s="273">
        <v>-0.1</v>
      </c>
      <c r="J682" s="273">
        <v>-0.1</v>
      </c>
      <c r="K682" s="273">
        <v>0.1</v>
      </c>
      <c r="L682" s="273">
        <v>-0.26500000000000001</v>
      </c>
      <c r="M682" s="273">
        <v>-0.34</v>
      </c>
      <c r="N682" s="273">
        <v>-1.4999999999999999E-2</v>
      </c>
      <c r="O682" s="273">
        <v>-0.115</v>
      </c>
      <c r="P682" s="273">
        <v>-1.4999999999999999E-2</v>
      </c>
      <c r="Q682" s="273">
        <v>-0.115</v>
      </c>
      <c r="R682" s="273">
        <v>-0.26500000000000001</v>
      </c>
      <c r="S682" s="273">
        <v>0.155</v>
      </c>
      <c r="T682" s="273">
        <v>-3.5000000000000003E-2</v>
      </c>
      <c r="U682" s="273">
        <v>-0.1</v>
      </c>
      <c r="V682" s="273">
        <v>0.14499999999999999</v>
      </c>
      <c r="W682" s="273">
        <v>0.05</v>
      </c>
      <c r="X682" s="273">
        <v>0.17</v>
      </c>
      <c r="Y682" s="273">
        <v>0.01</v>
      </c>
      <c r="Z682" s="273">
        <f ca="1">[1]ExtEntry!$L86</f>
        <v>0.01</v>
      </c>
      <c r="AB682" s="330">
        <v>1.0353920888272032</v>
      </c>
      <c r="AC682" s="330">
        <v>1.0325259515570935</v>
      </c>
      <c r="AD682" s="330">
        <v>1.0289655172413794</v>
      </c>
      <c r="AE682" s="330">
        <v>1.0371915189433438</v>
      </c>
      <c r="AF682" s="330">
        <v>1.0371915189433438</v>
      </c>
      <c r="AG682" s="330">
        <v>1.030031066620642</v>
      </c>
      <c r="AH682" s="330">
        <v>1.0495954977136828</v>
      </c>
      <c r="AI682" s="330">
        <v>1.0753153153153152</v>
      </c>
      <c r="AJ682" s="330">
        <v>1.0764790764790766</v>
      </c>
      <c r="AK682" s="330">
        <v>1.0854856311385959</v>
      </c>
      <c r="AL682" s="330">
        <v>1.0745408714440043</v>
      </c>
      <c r="AM682" s="330">
        <v>1.0831215970961887</v>
      </c>
      <c r="AN682" s="330">
        <v>1.1035502958579881</v>
      </c>
      <c r="AO682" s="330">
        <v>1.0906432748538011</v>
      </c>
      <c r="AP682" s="330">
        <v>1.0906432748538011</v>
      </c>
      <c r="AQ682" s="330">
        <v>1.1031423290203326</v>
      </c>
      <c r="AR682" s="330">
        <v>1.0914411119239209</v>
      </c>
      <c r="AS682" s="330">
        <v>1.0874635568513118</v>
      </c>
      <c r="AT682" s="330">
        <v>1.074154067674586</v>
      </c>
      <c r="AU682" s="330">
        <v>1.0733812949640287</v>
      </c>
      <c r="AV682" s="330">
        <f ca="1">Calc!AP86</f>
        <v>1.0733812949640287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-0.51</v>
      </c>
      <c r="G683" s="273">
        <v>7.0000000000000007E-2</v>
      </c>
      <c r="H683" s="273">
        <v>-0.53010000000000002</v>
      </c>
      <c r="I683" s="273">
        <v>-0.215</v>
      </c>
      <c r="J683" s="273">
        <v>-0.215</v>
      </c>
      <c r="K683" s="273">
        <v>0.32500000000000001</v>
      </c>
      <c r="L683" s="273">
        <v>0.59</v>
      </c>
      <c r="M683" s="273">
        <v>-0.35499999999999998</v>
      </c>
      <c r="N683" s="273">
        <v>0.86499999999999999</v>
      </c>
      <c r="O683" s="273">
        <v>0.04</v>
      </c>
      <c r="P683" s="273">
        <v>0.1</v>
      </c>
      <c r="Q683" s="273">
        <v>0.21</v>
      </c>
      <c r="R683" s="273">
        <v>-1.2969999999999999</v>
      </c>
      <c r="S683" s="273">
        <v>-1.75</v>
      </c>
      <c r="T683" s="273">
        <v>0.31</v>
      </c>
      <c r="U683" s="273">
        <v>-0.51</v>
      </c>
      <c r="V683" s="273">
        <v>-0.25</v>
      </c>
      <c r="W683" s="273">
        <v>1.395</v>
      </c>
      <c r="X683" s="273">
        <v>-0.26</v>
      </c>
      <c r="Y683" s="273">
        <v>-0.36</v>
      </c>
      <c r="Z683" s="273">
        <f ca="1">[1]ExtEntry!$L87</f>
        <v>-0.36</v>
      </c>
      <c r="AB683" s="330">
        <v>1.1319638336347198</v>
      </c>
      <c r="AC683" s="330">
        <v>1.1168171275646743</v>
      </c>
      <c r="AD683" s="330">
        <v>1.1360751725843297</v>
      </c>
      <c r="AE683" s="330">
        <v>1.138267530401182</v>
      </c>
      <c r="AF683" s="330">
        <v>1.138267530401182</v>
      </c>
      <c r="AG683" s="330">
        <v>1.1308135937676416</v>
      </c>
      <c r="AH683" s="330">
        <v>1.078803963808703</v>
      </c>
      <c r="AI683" s="330">
        <v>1.0875899663372788</v>
      </c>
      <c r="AJ683" s="330">
        <v>1.0676490779234622</v>
      </c>
      <c r="AK683" s="330">
        <v>1.0675352803240248</v>
      </c>
      <c r="AL683" s="330">
        <v>1.0518395295106071</v>
      </c>
      <c r="AM683" s="330">
        <v>1.047220409870347</v>
      </c>
      <c r="AN683" s="330">
        <v>1.0711201420229717</v>
      </c>
      <c r="AO683" s="330">
        <v>1.0816000000000001</v>
      </c>
      <c r="AP683" s="330">
        <v>1.0744063505685475</v>
      </c>
      <c r="AQ683" s="330">
        <v>1.115686563876652</v>
      </c>
      <c r="AR683" s="330">
        <v>1.1223614003988476</v>
      </c>
      <c r="AS683" s="330">
        <v>1.0941175072902041</v>
      </c>
      <c r="AT683" s="330">
        <v>1.0999385450597177</v>
      </c>
      <c r="AU683" s="330">
        <v>1.1093335523434078</v>
      </c>
      <c r="AV683" s="330">
        <f ca="1">Calc!AP87</f>
        <v>1.1093335523434078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-0.11</v>
      </c>
      <c r="G684" s="273">
        <v>-7.51E-2</v>
      </c>
      <c r="H684" s="273">
        <v>-5.0000000000000001E-3</v>
      </c>
      <c r="I684" s="273">
        <v>0.2465</v>
      </c>
      <c r="J684" s="273">
        <v>0.2465</v>
      </c>
      <c r="K684" s="273">
        <v>5.5E-2</v>
      </c>
      <c r="L684" s="273">
        <v>-0.75</v>
      </c>
      <c r="M684" s="273">
        <v>-0.22</v>
      </c>
      <c r="N684" s="273">
        <v>0.14499999999999999</v>
      </c>
      <c r="O684" s="273">
        <v>-0.47499999999999998</v>
      </c>
      <c r="P684" s="273">
        <v>0.16</v>
      </c>
      <c r="Q684" s="273">
        <v>6.3399999999999998E-2</v>
      </c>
      <c r="R684" s="273">
        <v>-5.0000000000000001E-3</v>
      </c>
      <c r="S684" s="273">
        <v>-0.19</v>
      </c>
      <c r="T684" s="273">
        <v>-0.25</v>
      </c>
      <c r="U684" s="273">
        <v>-0.315</v>
      </c>
      <c r="V684" s="273">
        <v>0.17</v>
      </c>
      <c r="W684" s="273">
        <v>-0.12</v>
      </c>
      <c r="X684" s="273">
        <v>0.27</v>
      </c>
      <c r="Y684" s="273">
        <v>-0.98</v>
      </c>
      <c r="Z684" s="273">
        <f ca="1">[1]ExtEntry!$L88</f>
        <v>-0.98</v>
      </c>
      <c r="AB684" s="330">
        <v>1.1672135728542914</v>
      </c>
      <c r="AC684" s="330">
        <v>1.1679175870484804</v>
      </c>
      <c r="AD684" s="330">
        <v>1.1632663616471055</v>
      </c>
      <c r="AE684" s="330">
        <v>1.1549266288783995</v>
      </c>
      <c r="AF684" s="330">
        <v>1.1549266288783995</v>
      </c>
      <c r="AG684" s="330">
        <v>1.152264039408867</v>
      </c>
      <c r="AH684" s="330">
        <v>1.1634978113808199</v>
      </c>
      <c r="AI684" s="330">
        <v>1.1733025682182985</v>
      </c>
      <c r="AJ684" s="330">
        <v>1.1665150608418113</v>
      </c>
      <c r="AK684" s="330">
        <v>1.1888066680219558</v>
      </c>
      <c r="AL684" s="330">
        <v>1.1808844911147012</v>
      </c>
      <c r="AM684" s="330">
        <v>1.1778684628213703</v>
      </c>
      <c r="AN684" s="330">
        <v>1.1707187187187187</v>
      </c>
      <c r="AO684" s="330">
        <v>1.1794554255748286</v>
      </c>
      <c r="AP684" s="330">
        <v>1.1914710676446618</v>
      </c>
      <c r="AQ684" s="330">
        <v>1.1747258294321188</v>
      </c>
      <c r="AR684" s="330">
        <v>1.1673600323624596</v>
      </c>
      <c r="AS684" s="330">
        <v>1.1735315168767793</v>
      </c>
      <c r="AT684" s="330">
        <v>1.1617206119162642</v>
      </c>
      <c r="AU684" s="330">
        <v>1.2084229480737019</v>
      </c>
      <c r="AV684" s="330">
        <f ca="1">Calc!AP88</f>
        <v>1.2084229480737019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-7.8799999999999995E-2</v>
      </c>
      <c r="G685" s="273">
        <v>-4.4999999999999998E-2</v>
      </c>
      <c r="H685" s="273">
        <v>-3.0099999999999998E-2</v>
      </c>
      <c r="I685" s="273">
        <v>-9.5000000000000001E-2</v>
      </c>
      <c r="J685" s="273">
        <v>-9.5000000000000001E-2</v>
      </c>
      <c r="K685" s="273">
        <v>-4.4999999999999998E-2</v>
      </c>
      <c r="L685" s="273">
        <v>5.5E-2</v>
      </c>
      <c r="M685" s="273">
        <v>-7.4999999999999997E-2</v>
      </c>
      <c r="N685" s="273">
        <v>0.13500000000000001</v>
      </c>
      <c r="O685" s="273">
        <v>-6.5299999999999997E-2</v>
      </c>
      <c r="P685" s="273">
        <v>-7.0000000000000007E-2</v>
      </c>
      <c r="Q685" s="273">
        <v>-5.0000000000000001E-3</v>
      </c>
      <c r="R685" s="273">
        <v>-7.4800000000000005E-2</v>
      </c>
      <c r="S685" s="273">
        <v>-7.0000000000000007E-2</v>
      </c>
      <c r="T685" s="273">
        <v>0.11</v>
      </c>
      <c r="U685" s="273">
        <v>0.09</v>
      </c>
      <c r="V685" s="273">
        <v>-2.5000000000000001E-2</v>
      </c>
      <c r="W685" s="273">
        <v>9.5000000000000001E-2</v>
      </c>
      <c r="X685" s="273">
        <v>1.4500000000000001E-2</v>
      </c>
      <c r="Y685" s="273">
        <v>4.4999999999999998E-2</v>
      </c>
      <c r="Z685" s="273">
        <f ca="1">[1]ExtEntry!$L89</f>
        <v>4.4999999999999998E-2</v>
      </c>
      <c r="AB685" s="330">
        <v>1.3271015283842795</v>
      </c>
      <c r="AC685" s="330">
        <v>1.3119730185497471</v>
      </c>
      <c r="AD685" s="330">
        <v>1.3322374053905954</v>
      </c>
      <c r="AE685" s="330">
        <v>1.3625218914185639</v>
      </c>
      <c r="AF685" s="330">
        <v>1.3625218914185639</v>
      </c>
      <c r="AG685" s="330">
        <v>1.3917710196779964</v>
      </c>
      <c r="AH685" s="330">
        <v>1.2568659127625201</v>
      </c>
      <c r="AI685" s="330">
        <v>1.2859504132231405</v>
      </c>
      <c r="AJ685" s="330">
        <v>1.225196850393701</v>
      </c>
      <c r="AK685" s="330">
        <v>1.2529390923438659</v>
      </c>
      <c r="AL685" s="330">
        <v>1.2838283828382839</v>
      </c>
      <c r="AM685" s="330">
        <v>1.2859504132231405</v>
      </c>
      <c r="AN685" s="330">
        <v>1.3030952699986602</v>
      </c>
      <c r="AO685" s="330">
        <v>1.3010033444816054</v>
      </c>
      <c r="AP685" s="330">
        <v>1.2548387096774194</v>
      </c>
      <c r="AQ685" s="330">
        <v>1.231012658227848</v>
      </c>
      <c r="AR685" s="330">
        <v>1.2408293460925042</v>
      </c>
      <c r="AS685" s="330">
        <v>1.2024729520865534</v>
      </c>
      <c r="AT685" s="330">
        <v>1.1952680903364572</v>
      </c>
      <c r="AU685" s="330">
        <v>1.1770045385779122</v>
      </c>
      <c r="AV685" s="330">
        <f ca="1">Calc!AP89</f>
        <v>1.1770045385779122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-0.32</v>
      </c>
      <c r="G686" s="273">
        <v>0.21</v>
      </c>
      <c r="H686" s="273">
        <v>-1.3</v>
      </c>
      <c r="I686" s="273">
        <v>-0.20499999999999999</v>
      </c>
      <c r="J686" s="273">
        <v>-0.20499999999999999</v>
      </c>
      <c r="K686" s="273">
        <v>0.28999999999999998</v>
      </c>
      <c r="L686" s="273">
        <v>0.05</v>
      </c>
      <c r="M686" s="273">
        <v>0.56999999999999995</v>
      </c>
      <c r="N686" s="273">
        <v>-0.12</v>
      </c>
      <c r="O686" s="273">
        <v>0.3</v>
      </c>
      <c r="P686" s="273">
        <v>-0.17</v>
      </c>
      <c r="Q686" s="273">
        <v>-3.5799999999999998E-2</v>
      </c>
      <c r="R686" s="273">
        <v>0.105</v>
      </c>
      <c r="S686" s="273">
        <v>-0.28999999999999998</v>
      </c>
      <c r="T686" s="273">
        <v>0.59</v>
      </c>
      <c r="U686" s="273">
        <v>-0.64</v>
      </c>
      <c r="V686" s="273">
        <v>0.24</v>
      </c>
      <c r="W686" s="273">
        <v>0.54</v>
      </c>
      <c r="X686" s="273">
        <v>0.34</v>
      </c>
      <c r="Y686" s="273">
        <v>0.21</v>
      </c>
      <c r="Z686" s="273">
        <f ca="1">[1]ExtEntry!$L90</f>
        <v>0.21</v>
      </c>
      <c r="AB686" s="330">
        <v>1.2686435701702876</v>
      </c>
      <c r="AC686" s="330">
        <v>1.2542815674891146</v>
      </c>
      <c r="AD686" s="330">
        <v>1.3062273276904475</v>
      </c>
      <c r="AE686" s="330">
        <v>1.3127753303964758</v>
      </c>
      <c r="AF686" s="330">
        <v>1.3127753303964758</v>
      </c>
      <c r="AG686" s="330">
        <v>1.3062273276904475</v>
      </c>
      <c r="AH686" s="330">
        <v>1.2937125748502996</v>
      </c>
      <c r="AI686" s="330">
        <v>1.2720047100382692</v>
      </c>
      <c r="AJ686" s="330">
        <v>1.2765140324963071</v>
      </c>
      <c r="AK686" s="330">
        <v>1.2660416056255492</v>
      </c>
      <c r="AL686" s="330">
        <v>1.2608695652173911</v>
      </c>
      <c r="AM686" s="330">
        <v>1.2621881042933674</v>
      </c>
      <c r="AN686" s="330">
        <v>1.2436321772916967</v>
      </c>
      <c r="AO686" s="330">
        <v>1.2579330422125181</v>
      </c>
      <c r="AP686" s="330">
        <v>1.236691471093303</v>
      </c>
      <c r="AQ686" s="330">
        <v>1.2686435701702876</v>
      </c>
      <c r="AR686" s="330">
        <v>1.2597667638483967</v>
      </c>
      <c r="AS686" s="330">
        <v>1.2402411021814006</v>
      </c>
      <c r="AT686" s="330">
        <v>1.2282546901648663</v>
      </c>
      <c r="AU686" s="330">
        <v>1.2240793201133147</v>
      </c>
      <c r="AV686" s="330">
        <f ca="1">Calc!AP90</f>
        <v>1.2240793201133147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-1.42</v>
      </c>
      <c r="G687" s="265">
        <v>-7.0000000000000007E-2</v>
      </c>
      <c r="H687" s="265">
        <v>0.35</v>
      </c>
      <c r="I687" s="265">
        <v>-2.5</v>
      </c>
      <c r="J687" s="265">
        <v>-2.5</v>
      </c>
      <c r="K687" s="265">
        <v>-0.14499999999999999</v>
      </c>
      <c r="L687" s="265">
        <v>-0.03</v>
      </c>
      <c r="M687" s="265">
        <v>-0.30499999999999999</v>
      </c>
      <c r="N687" s="265">
        <v>0.62</v>
      </c>
      <c r="O687" s="265">
        <v>0.88</v>
      </c>
      <c r="P687" s="265">
        <v>-1.1399999999999999</v>
      </c>
      <c r="Q687" s="265">
        <v>-4.12</v>
      </c>
      <c r="R687" s="265">
        <v>-0.82</v>
      </c>
      <c r="S687" s="265">
        <v>-0.44</v>
      </c>
      <c r="T687" s="265">
        <v>-0.04</v>
      </c>
      <c r="U687" s="265">
        <v>0.88</v>
      </c>
      <c r="V687" s="265">
        <v>-0.31</v>
      </c>
      <c r="W687" s="265">
        <v>-1.7549999999999999</v>
      </c>
      <c r="X687" s="265">
        <v>0.48499999999999999</v>
      </c>
      <c r="Y687" s="265">
        <v>-1.37</v>
      </c>
      <c r="Z687" s="265">
        <f ca="1">[1]ExtEntry!$L91</f>
        <v>-1.37</v>
      </c>
      <c r="AB687" s="330">
        <v>1.1309413478088177</v>
      </c>
      <c r="AC687" s="330">
        <v>1.1243912070554167</v>
      </c>
      <c r="AD687" s="330">
        <v>1.1217334208798424</v>
      </c>
      <c r="AE687" s="330">
        <v>1.1507476761417217</v>
      </c>
      <c r="AF687" s="330">
        <v>1.1507476761417217</v>
      </c>
      <c r="AG687" s="330">
        <v>1.151911536646214</v>
      </c>
      <c r="AH687" s="330">
        <v>1.0800354027057781</v>
      </c>
      <c r="AI687" s="330">
        <v>1.0843541732783244</v>
      </c>
      <c r="AJ687" s="330">
        <v>1.0758186397984886</v>
      </c>
      <c r="AK687" s="330">
        <v>1.0641584651800176</v>
      </c>
      <c r="AL687" s="330">
        <v>1.0725765946760422</v>
      </c>
      <c r="AM687" s="330">
        <v>1.1310911016949154</v>
      </c>
      <c r="AN687" s="330">
        <v>1.1327410157804005</v>
      </c>
      <c r="AO687" s="330">
        <v>1.1270616176276553</v>
      </c>
      <c r="AP687" s="330">
        <v>1.1276567656765677</v>
      </c>
      <c r="AQ687" s="330">
        <v>1.1266156686890003</v>
      </c>
      <c r="AR687" s="330">
        <v>1.1312408952456627</v>
      </c>
      <c r="AS687" s="330">
        <v>1.1581587688970241</v>
      </c>
      <c r="AT687" s="330">
        <v>1.1506701690577221</v>
      </c>
      <c r="AU687" s="330">
        <v>1.1723853966511117</v>
      </c>
      <c r="AV687" s="330">
        <f ca="1">Calc!AP91</f>
        <v>1.1723853966511117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-0.505</v>
      </c>
      <c r="G688" s="273">
        <v>-1.91</v>
      </c>
      <c r="H688" s="273">
        <v>0.52</v>
      </c>
      <c r="I688" s="273">
        <v>5.15</v>
      </c>
      <c r="J688" s="273">
        <v>5.15</v>
      </c>
      <c r="K688" s="273">
        <v>3.91</v>
      </c>
      <c r="L688" s="273">
        <v>0.73</v>
      </c>
      <c r="M688" s="273">
        <v>-0.19</v>
      </c>
      <c r="N688" s="273">
        <v>1.91</v>
      </c>
      <c r="O688" s="273">
        <v>0.34499999999999997</v>
      </c>
      <c r="P688" s="273">
        <v>-0.2</v>
      </c>
      <c r="Q688" s="273">
        <v>0.51900000000000002</v>
      </c>
      <c r="R688" s="273">
        <v>0.68</v>
      </c>
      <c r="S688" s="273">
        <v>1.56</v>
      </c>
      <c r="T688" s="273">
        <v>5.61</v>
      </c>
      <c r="U688" s="273">
        <v>-3.73</v>
      </c>
      <c r="V688" s="273">
        <v>3.92</v>
      </c>
      <c r="W688" s="273">
        <v>-4.6100000000000003</v>
      </c>
      <c r="X688" s="273">
        <v>1.53</v>
      </c>
      <c r="Y688" s="273">
        <v>-0.71</v>
      </c>
      <c r="Z688" s="273">
        <f ca="1">[1]ExtEntry!$L92</f>
        <v>-0.71</v>
      </c>
      <c r="AB688" s="330">
        <v>1.0902380299361012</v>
      </c>
      <c r="AC688" s="330">
        <v>1.0960905837489001</v>
      </c>
      <c r="AD688" s="330">
        <v>1.0828134925234729</v>
      </c>
      <c r="AE688" s="330">
        <v>1.0586391659111516</v>
      </c>
      <c r="AF688" s="330">
        <v>1.0586391659111516</v>
      </c>
      <c r="AG688" s="330">
        <v>1.0268695174233264</v>
      </c>
      <c r="AH688" s="330">
        <v>1.0366123286911171</v>
      </c>
      <c r="AI688" s="330">
        <v>1.0377062874916687</v>
      </c>
      <c r="AJ688" s="330">
        <v>1.0268130805166256</v>
      </c>
      <c r="AK688" s="330">
        <v>1.0248697989522479</v>
      </c>
      <c r="AL688" s="330">
        <v>1.013555254163728</v>
      </c>
      <c r="AM688" s="330">
        <v>1.0107094980227105</v>
      </c>
      <c r="AN688" s="330">
        <v>1.0042930710100522</v>
      </c>
      <c r="AO688" s="330">
        <v>0.99956471028837413</v>
      </c>
      <c r="AP688" s="330">
        <v>0.97043756492831912</v>
      </c>
      <c r="AQ688" s="330">
        <v>1.0263642504546635</v>
      </c>
      <c r="AR688" s="330">
        <v>1.00577320637507</v>
      </c>
      <c r="AS688" s="330">
        <v>1.0299499426426113</v>
      </c>
      <c r="AT688" s="330">
        <v>1.021798148052351</v>
      </c>
      <c r="AU688" s="330">
        <v>1.0251922977111123</v>
      </c>
      <c r="AV688" s="330">
        <f ca="1">Calc!AP92</f>
        <v>1.0251922977111123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-1.4999999999999999E-2</v>
      </c>
      <c r="G690" s="273">
        <v>-0.13500000000000001</v>
      </c>
      <c r="H690" s="273">
        <v>-7.0000000000000007E-2</v>
      </c>
      <c r="I690" s="273">
        <v>-7.0000000000000007E-2</v>
      </c>
      <c r="J690" s="273">
        <v>-7.0000000000000007E-2</v>
      </c>
      <c r="K690" s="273">
        <v>-0.08</v>
      </c>
      <c r="L690" s="273">
        <v>-0.03</v>
      </c>
      <c r="M690" s="273">
        <v>0.155</v>
      </c>
      <c r="N690" s="273">
        <v>0.105</v>
      </c>
      <c r="O690" s="273">
        <v>-0.16</v>
      </c>
      <c r="P690" s="273">
        <v>-0.14000000000000001</v>
      </c>
      <c r="Q690" s="273">
        <v>-0.38500000000000001</v>
      </c>
      <c r="R690" s="273">
        <v>-0.11</v>
      </c>
      <c r="S690" s="273">
        <v>0.17499999999999999</v>
      </c>
      <c r="T690" s="273">
        <v>0.115</v>
      </c>
      <c r="U690" s="273">
        <v>0.17</v>
      </c>
      <c r="V690" s="273">
        <v>-0.04</v>
      </c>
      <c r="W690" s="273">
        <v>2.5000000000000001E-2</v>
      </c>
      <c r="X690" s="273">
        <v>-3.5000000000000003E-2</v>
      </c>
      <c r="Y690" s="273">
        <v>0.23</v>
      </c>
      <c r="Z690" s="273">
        <f ca="1">[1]ExtEntry!$L94</f>
        <v>0.23</v>
      </c>
      <c r="AB690" s="330">
        <v>1.0453550203315609</v>
      </c>
      <c r="AC690" s="330">
        <v>1.0542586750788645</v>
      </c>
      <c r="AD690" s="330">
        <v>1.0633153038498251</v>
      </c>
      <c r="AE690" s="330">
        <v>1.0646702771583307</v>
      </c>
      <c r="AF690" s="330">
        <v>1.0646702771583307</v>
      </c>
      <c r="AG690" s="330">
        <v>1.0701248799231509</v>
      </c>
      <c r="AH690" s="330">
        <v>1.0840090820629258</v>
      </c>
      <c r="AI690" s="330">
        <v>1.0732177263969171</v>
      </c>
      <c r="AJ690" s="330">
        <v>1.0660287081339712</v>
      </c>
      <c r="AK690" s="330">
        <v>1.0770222365452788</v>
      </c>
      <c r="AL690" s="330">
        <v>1.1062562065541213</v>
      </c>
      <c r="AM690" s="330">
        <v>1.138671209540034</v>
      </c>
      <c r="AN690" s="330">
        <v>1.1441287230400548</v>
      </c>
      <c r="AO690" s="330">
        <v>1.112887112887113</v>
      </c>
      <c r="AP690" s="330">
        <v>1.1230053191489362</v>
      </c>
      <c r="AQ690" s="330">
        <v>1.1006842619745845</v>
      </c>
      <c r="AR690" s="330">
        <v>1.103560927801372</v>
      </c>
      <c r="AS690" s="330">
        <v>1.1017612524461839</v>
      </c>
      <c r="AT690" s="330">
        <v>1.1042824452435436</v>
      </c>
      <c r="AU690" s="330">
        <v>1.0879227053140097</v>
      </c>
      <c r="AV690" s="330">
        <f ca="1">Calc!AP94</f>
        <v>1.0879227053140097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-0.16500000000000001</v>
      </c>
      <c r="G691" s="265">
        <v>4.1099999999999998E-2</v>
      </c>
      <c r="H691" s="265">
        <v>5.8000000000000003E-2</v>
      </c>
      <c r="I691" s="265">
        <v>-1.6E-2</v>
      </c>
      <c r="J691" s="265">
        <v>-1.6E-2</v>
      </c>
      <c r="K691" s="265">
        <v>-7.8E-2</v>
      </c>
      <c r="L691" s="265">
        <v>0.25700000000000001</v>
      </c>
      <c r="M691" s="265">
        <v>-0.115</v>
      </c>
      <c r="N691" s="265">
        <v>0.18099999999999999</v>
      </c>
      <c r="O691" s="265">
        <v>9.2999999999999999E-2</v>
      </c>
      <c r="P691" s="265">
        <v>1.2500000000000001E-2</v>
      </c>
      <c r="Q691" s="265">
        <v>-0.189</v>
      </c>
      <c r="R691" s="265">
        <v>2.8000000000000001E-2</v>
      </c>
      <c r="S691" s="265">
        <v>6.1499999999999999E-2</v>
      </c>
      <c r="T691" s="265">
        <v>6.5000000000000002E-2</v>
      </c>
      <c r="U691" s="265">
        <v>0.14000000000000001</v>
      </c>
      <c r="V691" s="265">
        <v>1.7999999999999999E-2</v>
      </c>
      <c r="W691" s="265">
        <v>0.1</v>
      </c>
      <c r="X691" s="265">
        <v>0.108</v>
      </c>
      <c r="Y691" s="265">
        <v>-9.7000000000000003E-2</v>
      </c>
      <c r="Z691" s="265">
        <f ca="1">[1]ExtEntry!$L95</f>
        <v>-9.7000000000000003E-2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45887</v>
      </c>
      <c r="G696" s="128">
        <f t="shared" si="44"/>
        <v>45888</v>
      </c>
      <c r="H696" s="128">
        <f t="shared" si="44"/>
        <v>45889</v>
      </c>
      <c r="I696" s="128">
        <f t="shared" si="44"/>
        <v>45890</v>
      </c>
      <c r="J696" s="128">
        <f t="shared" si="44"/>
        <v>45891</v>
      </c>
      <c r="K696" s="128">
        <f t="shared" si="44"/>
        <v>45894</v>
      </c>
      <c r="L696" s="128">
        <f t="shared" si="44"/>
        <v>45895</v>
      </c>
      <c r="M696" s="128">
        <f t="shared" si="44"/>
        <v>45896</v>
      </c>
      <c r="N696" s="128">
        <f t="shared" si="44"/>
        <v>45897</v>
      </c>
      <c r="O696" s="128">
        <f t="shared" si="44"/>
        <v>45898</v>
      </c>
      <c r="P696" s="128">
        <f t="shared" si="44"/>
        <v>45901</v>
      </c>
      <c r="Q696" s="128">
        <f t="shared" si="44"/>
        <v>45902</v>
      </c>
      <c r="R696" s="128">
        <f t="shared" si="44"/>
        <v>45903</v>
      </c>
      <c r="S696" s="128">
        <f t="shared" si="44"/>
        <v>45904</v>
      </c>
      <c r="T696" s="128">
        <f t="shared" si="44"/>
        <v>45905</v>
      </c>
      <c r="U696" s="128">
        <f t="shared" si="44"/>
        <v>45908</v>
      </c>
      <c r="V696" s="128">
        <f t="shared" si="44"/>
        <v>45909</v>
      </c>
      <c r="W696" s="128">
        <f t="shared" si="44"/>
        <v>45910</v>
      </c>
      <c r="X696" s="128">
        <f t="shared" si="44"/>
        <v>45911</v>
      </c>
      <c r="Y696" s="128">
        <f t="shared" si="44"/>
        <v>45912</v>
      </c>
      <c r="Z696" s="128">
        <f t="shared" ca="1" si="44"/>
        <v>45912</v>
      </c>
      <c r="AB696" s="128">
        <f t="shared" ref="AB696:AV696" si="45">F597</f>
        <v>45887</v>
      </c>
      <c r="AC696" s="128">
        <f t="shared" si="45"/>
        <v>45888</v>
      </c>
      <c r="AD696" s="128">
        <f t="shared" si="45"/>
        <v>45889</v>
      </c>
      <c r="AE696" s="128">
        <f t="shared" si="45"/>
        <v>45890</v>
      </c>
      <c r="AF696" s="128">
        <f t="shared" si="45"/>
        <v>45891</v>
      </c>
      <c r="AG696" s="128">
        <f t="shared" si="45"/>
        <v>45894</v>
      </c>
      <c r="AH696" s="128">
        <f t="shared" si="45"/>
        <v>45895</v>
      </c>
      <c r="AI696" s="128">
        <f t="shared" si="45"/>
        <v>45896</v>
      </c>
      <c r="AJ696" s="128">
        <f t="shared" si="45"/>
        <v>45897</v>
      </c>
      <c r="AK696" s="128">
        <f t="shared" si="45"/>
        <v>45898</v>
      </c>
      <c r="AL696" s="128">
        <f t="shared" si="45"/>
        <v>45901</v>
      </c>
      <c r="AM696" s="128">
        <f t="shared" si="45"/>
        <v>45902</v>
      </c>
      <c r="AN696" s="128">
        <f t="shared" si="45"/>
        <v>45903</v>
      </c>
      <c r="AO696" s="128">
        <f t="shared" si="45"/>
        <v>45904</v>
      </c>
      <c r="AP696" s="128">
        <f t="shared" si="45"/>
        <v>45905</v>
      </c>
      <c r="AQ696" s="128">
        <f t="shared" si="45"/>
        <v>45908</v>
      </c>
      <c r="AR696" s="128">
        <f t="shared" si="45"/>
        <v>45909</v>
      </c>
      <c r="AS696" s="128">
        <f t="shared" si="45"/>
        <v>45910</v>
      </c>
      <c r="AT696" s="128">
        <f t="shared" si="45"/>
        <v>45911</v>
      </c>
      <c r="AU696" s="128">
        <f t="shared" si="45"/>
        <v>45912</v>
      </c>
      <c r="AV696" s="128">
        <f t="shared" ca="1" si="45"/>
        <v>45912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-4.9290000000000002E-3</v>
      </c>
      <c r="G698" s="266">
        <v>-6.6159999999999995E-3</v>
      </c>
      <c r="H698" s="266">
        <v>-2.5040000000000001E-3</v>
      </c>
      <c r="I698" s="266">
        <v>-3.3350000000000003E-3</v>
      </c>
      <c r="J698" s="266">
        <v>-3.3350000000000003E-3</v>
      </c>
      <c r="K698" s="266">
        <v>-1.9734999999999999E-2</v>
      </c>
      <c r="L698" s="266">
        <v>-2.6340000000000001E-3</v>
      </c>
      <c r="M698" s="266">
        <v>9.4649999999999995E-3</v>
      </c>
      <c r="N698" s="266">
        <v>5.1459999999999995E-3</v>
      </c>
      <c r="O698" s="266">
        <v>3.9480000000000001E-3</v>
      </c>
      <c r="P698" s="266">
        <v>-1.8060000000000001E-3</v>
      </c>
      <c r="Q698" s="266">
        <v>-1.9643999999999998E-2</v>
      </c>
      <c r="R698" s="266">
        <v>2.8188000000000001E-2</v>
      </c>
      <c r="S698" s="266">
        <v>3.8089999999999999E-2</v>
      </c>
      <c r="T698" s="266">
        <v>5.4930000000000005E-3</v>
      </c>
      <c r="U698" s="266">
        <v>-7.5509999999999996E-3</v>
      </c>
      <c r="V698" s="266">
        <v>-1.4839E-2</v>
      </c>
      <c r="W698" s="266">
        <v>-3.2259000000000003E-2</v>
      </c>
      <c r="X698" s="266">
        <v>1.5939999999999999E-2</v>
      </c>
      <c r="Y698" s="266">
        <v>1.7562999999999999E-2</v>
      </c>
      <c r="Z698" s="266">
        <f ca="1">[1]ExtEntry!$M3</f>
        <v>1.7562999999999999E-2</v>
      </c>
      <c r="AB698" s="271">
        <v>1</v>
      </c>
      <c r="AC698" s="271">
        <v>3</v>
      </c>
      <c r="AD698" s="271">
        <v>3</v>
      </c>
      <c r="AE698" s="309">
        <v>5</v>
      </c>
      <c r="AF698" s="309">
        <v>5</v>
      </c>
      <c r="AG698" s="309">
        <v>8</v>
      </c>
      <c r="AH698" s="309">
        <v>8</v>
      </c>
      <c r="AI698" s="309">
        <v>8</v>
      </c>
      <c r="AJ698" s="309">
        <v>5</v>
      </c>
      <c r="AK698" s="309">
        <v>3</v>
      </c>
      <c r="AL698" s="309">
        <v>3</v>
      </c>
      <c r="AM698" s="298">
        <v>12</v>
      </c>
      <c r="AN698" s="298">
        <v>12</v>
      </c>
      <c r="AO698" s="298">
        <v>1</v>
      </c>
      <c r="AP698" s="298">
        <v>1</v>
      </c>
      <c r="AQ698" s="298">
        <v>3</v>
      </c>
      <c r="AR698" s="298">
        <v>5</v>
      </c>
      <c r="AS698" s="298">
        <v>19</v>
      </c>
      <c r="AT698" s="298">
        <v>13</v>
      </c>
      <c r="AU698" s="298">
        <v>6</v>
      </c>
      <c r="AV698" s="298">
        <f t="shared" ref="AV698:AV729" si="46">_xlfn.RANK.EQ(Y203,F203:Y203)</f>
        <v>6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3.5737999999999999E-2</v>
      </c>
      <c r="F699" s="274">
        <v>-2.7924000000000001E-2</v>
      </c>
      <c r="G699" s="274">
        <v>-3.3470000000000001E-3</v>
      </c>
      <c r="H699" s="274">
        <v>6.6759999999999996E-4</v>
      </c>
      <c r="I699" s="274">
        <v>-2.1192000000000003E-2</v>
      </c>
      <c r="J699" s="274">
        <v>-2.1192000000000003E-2</v>
      </c>
      <c r="K699" s="274">
        <v>-1.9581000000000001E-2</v>
      </c>
      <c r="L699" s="274">
        <v>3.8660000000000001E-3</v>
      </c>
      <c r="M699" s="274">
        <v>-1.0947E-2</v>
      </c>
      <c r="N699" s="274">
        <v>1.3021E-2</v>
      </c>
      <c r="O699" s="274">
        <v>-7.0689999999999998E-3</v>
      </c>
      <c r="P699" s="274">
        <v>-2.8424000000000001E-2</v>
      </c>
      <c r="Q699" s="274">
        <v>-1.3963000000000001E-2</v>
      </c>
      <c r="R699" s="274">
        <v>3.356E-3</v>
      </c>
      <c r="S699" s="274">
        <v>2.4161000000000002E-2</v>
      </c>
      <c r="T699" s="274">
        <v>9.8300000000000002E-3</v>
      </c>
      <c r="U699" s="274">
        <v>-3.8890000000000001E-3</v>
      </c>
      <c r="V699" s="274">
        <v>-1.3009999999999999E-3</v>
      </c>
      <c r="W699" s="274">
        <v>-1.5635E-2</v>
      </c>
      <c r="X699" s="274">
        <v>3.5737999999999999E-2</v>
      </c>
      <c r="Y699" s="274">
        <v>-6.3860000000000002E-4</v>
      </c>
      <c r="Z699" s="274">
        <f ca="1">[1]ExtEntry!$M4</f>
        <v>-6.3860000000000002E-4</v>
      </c>
      <c r="AB699" s="271">
        <v>1</v>
      </c>
      <c r="AC699" s="271">
        <v>2</v>
      </c>
      <c r="AD699" s="271">
        <v>2</v>
      </c>
      <c r="AE699" s="309">
        <v>5</v>
      </c>
      <c r="AF699" s="309">
        <v>5</v>
      </c>
      <c r="AG699" s="309">
        <v>8</v>
      </c>
      <c r="AH699" s="309">
        <v>1</v>
      </c>
      <c r="AI699" s="309">
        <v>2</v>
      </c>
      <c r="AJ699" s="309">
        <v>2</v>
      </c>
      <c r="AK699" s="309">
        <v>3</v>
      </c>
      <c r="AL699" s="309">
        <v>6</v>
      </c>
      <c r="AM699" s="298">
        <v>9</v>
      </c>
      <c r="AN699" s="298">
        <v>9</v>
      </c>
      <c r="AO699" s="298">
        <v>8</v>
      </c>
      <c r="AP699" s="298">
        <v>4</v>
      </c>
      <c r="AQ699" s="298">
        <v>5</v>
      </c>
      <c r="AR699" s="298">
        <v>7</v>
      </c>
      <c r="AS699" s="298">
        <v>9</v>
      </c>
      <c r="AT699" s="298">
        <v>1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-2.9045999999999999E-2</v>
      </c>
      <c r="G700" s="266">
        <v>-1.7735000000000001E-2</v>
      </c>
      <c r="H700" s="266">
        <v>2.4390000000000002E-2</v>
      </c>
      <c r="I700" s="266">
        <v>-6.4099999999999999E-3</v>
      </c>
      <c r="J700" s="266">
        <v>-6.4099999999999999E-3</v>
      </c>
      <c r="K700" s="266">
        <v>-1.5054000000000001E-2</v>
      </c>
      <c r="L700" s="266">
        <v>1.0373E-2</v>
      </c>
      <c r="M700" s="266">
        <v>6.1599999999999997E-3</v>
      </c>
      <c r="N700" s="266">
        <v>-1.2244999999999999E-2</v>
      </c>
      <c r="O700" s="266">
        <v>1.5E-3</v>
      </c>
      <c r="P700" s="266">
        <v>3.8706999999999998E-2</v>
      </c>
      <c r="Q700" s="266">
        <v>1.5625E-2</v>
      </c>
      <c r="R700" s="266">
        <v>-3.8760000000000001E-3</v>
      </c>
      <c r="S700" s="266">
        <v>-1.5564E-2</v>
      </c>
      <c r="T700" s="266">
        <v>-7.3529999999999993E-3</v>
      </c>
      <c r="U700" s="266">
        <v>1.1029000000000001E-2</v>
      </c>
      <c r="V700" s="266">
        <v>-7.2729999999999991E-3</v>
      </c>
      <c r="W700" s="266">
        <v>-5.4945000000000001E-2</v>
      </c>
      <c r="X700" s="266">
        <v>-7.7520000000000002E-3</v>
      </c>
      <c r="Y700" s="266">
        <v>3.9060000000000002E-3</v>
      </c>
      <c r="Z700" s="266">
        <f ca="1">[1]ExtEntry!$M5</f>
        <v>3.9060000000000002E-3</v>
      </c>
      <c r="AB700" s="271">
        <v>18</v>
      </c>
      <c r="AC700" s="271">
        <v>20</v>
      </c>
      <c r="AD700" s="271">
        <v>20</v>
      </c>
      <c r="AE700" s="309">
        <v>18</v>
      </c>
      <c r="AF700" s="309">
        <v>17</v>
      </c>
      <c r="AG700" s="309">
        <v>20</v>
      </c>
      <c r="AH700" s="309">
        <v>9</v>
      </c>
      <c r="AI700" s="309">
        <v>6</v>
      </c>
      <c r="AJ700" s="309">
        <v>9</v>
      </c>
      <c r="AK700" s="309">
        <v>8</v>
      </c>
      <c r="AL700" s="309">
        <v>1</v>
      </c>
      <c r="AM700" s="298">
        <v>1</v>
      </c>
      <c r="AN700" s="298">
        <v>1</v>
      </c>
      <c r="AO700" s="298">
        <v>2</v>
      </c>
      <c r="AP700" s="298">
        <v>1</v>
      </c>
      <c r="AQ700" s="298">
        <v>1</v>
      </c>
      <c r="AR700" s="298">
        <v>2</v>
      </c>
      <c r="AS700" s="298">
        <v>5</v>
      </c>
      <c r="AT700" s="298">
        <v>7</v>
      </c>
      <c r="AU700" s="298">
        <v>6</v>
      </c>
      <c r="AV700" s="298">
        <f t="shared" si="46"/>
        <v>6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2.8469999999999999E-2</v>
      </c>
      <c r="G701" s="274">
        <v>2.5979999999999996E-3</v>
      </c>
      <c r="H701" s="274">
        <v>-3.5930000000000003E-3</v>
      </c>
      <c r="I701" s="274">
        <v>-1.7236000000000001E-2</v>
      </c>
      <c r="J701" s="274">
        <v>-1.7236000000000001E-2</v>
      </c>
      <c r="K701" s="274">
        <v>-1.8420000000000002E-2</v>
      </c>
      <c r="L701" s="274">
        <v>-3.9329999999999999E-3</v>
      </c>
      <c r="M701" s="274">
        <v>3.3779999999999999E-3</v>
      </c>
      <c r="N701" s="274">
        <v>1.7929999999999999E-3</v>
      </c>
      <c r="O701" s="274">
        <v>1.4958000000000001E-2</v>
      </c>
      <c r="P701" s="274">
        <v>-1.1226E-2</v>
      </c>
      <c r="Q701" s="274">
        <v>-2.8938999999999999E-2</v>
      </c>
      <c r="R701" s="274">
        <v>2.8399999999999996E-3</v>
      </c>
      <c r="S701" s="274">
        <v>2.885E-3</v>
      </c>
      <c r="T701" s="274">
        <v>4.2877999999999999E-2</v>
      </c>
      <c r="U701" s="274">
        <v>1.5108E-2</v>
      </c>
      <c r="V701" s="274">
        <v>1.0176000000000001E-2</v>
      </c>
      <c r="W701" s="274">
        <v>-3.3201999999999995E-2</v>
      </c>
      <c r="X701" s="274">
        <v>-8.0320000000000001E-4</v>
      </c>
      <c r="Y701" s="274">
        <v>-7.8279999999999999E-3</v>
      </c>
      <c r="Z701" s="274">
        <f ca="1">[1]ExtEntry!$M6</f>
        <v>-7.8279999999999999E-3</v>
      </c>
      <c r="AB701" s="271">
        <v>11</v>
      </c>
      <c r="AC701" s="271">
        <v>4</v>
      </c>
      <c r="AD701" s="271">
        <v>4</v>
      </c>
      <c r="AE701" s="309">
        <v>13</v>
      </c>
      <c r="AF701" s="309">
        <v>13</v>
      </c>
      <c r="AG701" s="309">
        <v>15</v>
      </c>
      <c r="AH701" s="309">
        <v>11</v>
      </c>
      <c r="AI701" s="309">
        <v>9</v>
      </c>
      <c r="AJ701" s="309">
        <v>9</v>
      </c>
      <c r="AK701" s="309">
        <v>3</v>
      </c>
      <c r="AL701" s="309">
        <v>9</v>
      </c>
      <c r="AM701" s="298">
        <v>15</v>
      </c>
      <c r="AN701" s="298">
        <v>15</v>
      </c>
      <c r="AO701" s="298">
        <v>12</v>
      </c>
      <c r="AP701" s="298">
        <v>1</v>
      </c>
      <c r="AQ701" s="298">
        <v>1</v>
      </c>
      <c r="AR701" s="298">
        <v>1</v>
      </c>
      <c r="AS701" s="298">
        <v>7</v>
      </c>
      <c r="AT701" s="298">
        <v>9</v>
      </c>
      <c r="AU701" s="298">
        <v>13</v>
      </c>
      <c r="AV701" s="298">
        <f t="shared" si="46"/>
        <v>13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0</v>
      </c>
      <c r="G702" s="266">
        <v>-2.0833000000000001E-2</v>
      </c>
      <c r="H702" s="266">
        <v>0</v>
      </c>
      <c r="I702" s="266">
        <v>-1.2500000000000001E-2</v>
      </c>
      <c r="J702" s="266">
        <v>-1.2500000000000001E-2</v>
      </c>
      <c r="K702" s="266">
        <v>-8.4390000000000003E-3</v>
      </c>
      <c r="L702" s="266">
        <v>-2.3403999999999998E-2</v>
      </c>
      <c r="M702" s="266">
        <v>-8.7150000000000005E-3</v>
      </c>
      <c r="N702" s="266">
        <v>8.7910000000000002E-3</v>
      </c>
      <c r="O702" s="266">
        <v>0</v>
      </c>
      <c r="P702" s="266">
        <v>-2.7719000000000001E-2</v>
      </c>
      <c r="Q702" s="266">
        <v>-1.0989000000000001E-2</v>
      </c>
      <c r="R702" s="266">
        <v>3.1111E-2</v>
      </c>
      <c r="S702" s="266">
        <v>-3.0171999999999997E-2</v>
      </c>
      <c r="T702" s="266">
        <v>2.2936000000000002E-2</v>
      </c>
      <c r="U702" s="266">
        <v>-2.1978000000000001E-2</v>
      </c>
      <c r="V702" s="266">
        <v>1.3483E-2</v>
      </c>
      <c r="W702" s="266">
        <v>6.6519999999999999E-3</v>
      </c>
      <c r="X702" s="266">
        <v>-2.2026E-2</v>
      </c>
      <c r="Y702" s="266">
        <v>2.2520000000000001E-3</v>
      </c>
      <c r="Z702" s="266">
        <f ca="1">[1]ExtEntry!$M7</f>
        <v>2.2520000000000001E-3</v>
      </c>
      <c r="AB702" s="271">
        <v>2</v>
      </c>
      <c r="AC702" s="271">
        <v>4</v>
      </c>
      <c r="AD702" s="271">
        <v>4</v>
      </c>
      <c r="AE702" s="309">
        <v>5</v>
      </c>
      <c r="AF702" s="309">
        <v>5</v>
      </c>
      <c r="AG702" s="309">
        <v>7</v>
      </c>
      <c r="AH702" s="309">
        <v>12</v>
      </c>
      <c r="AI702" s="309">
        <v>15</v>
      </c>
      <c r="AJ702" s="309">
        <v>12</v>
      </c>
      <c r="AK702" s="309">
        <v>12</v>
      </c>
      <c r="AL702" s="309">
        <v>15</v>
      </c>
      <c r="AM702" s="298">
        <v>17</v>
      </c>
      <c r="AN702" s="298">
        <v>17</v>
      </c>
      <c r="AO702" s="298">
        <v>9</v>
      </c>
      <c r="AP702" s="298">
        <v>20</v>
      </c>
      <c r="AQ702" s="298">
        <v>20</v>
      </c>
      <c r="AR702" s="298">
        <v>16</v>
      </c>
      <c r="AS702" s="298">
        <v>15</v>
      </c>
      <c r="AT702" s="298">
        <v>20</v>
      </c>
      <c r="AU702" s="298">
        <v>18</v>
      </c>
      <c r="AV702" s="298">
        <f t="shared" si="46"/>
        <v>18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3.5899999999999999E-3</v>
      </c>
      <c r="G703" s="274">
        <v>-9.333000000000001E-3</v>
      </c>
      <c r="H703" s="274">
        <v>-1.7280000000000002E-3</v>
      </c>
      <c r="I703" s="274">
        <v>5.6359999999999995E-3</v>
      </c>
      <c r="J703" s="274">
        <v>5.6359999999999995E-3</v>
      </c>
      <c r="K703" s="274">
        <v>-6.3829999999999998E-3</v>
      </c>
      <c r="L703" s="274">
        <v>7.7380000000000005E-4</v>
      </c>
      <c r="M703" s="274">
        <v>6.0309999999999999E-3</v>
      </c>
      <c r="N703" s="274">
        <v>1.4756E-2</v>
      </c>
      <c r="O703" s="274">
        <v>-8.6339999999999993E-3</v>
      </c>
      <c r="P703" s="274">
        <v>-1.2570000000000001E-3</v>
      </c>
      <c r="Q703" s="274">
        <v>-3.0026999999999998E-2</v>
      </c>
      <c r="R703" s="274">
        <v>2.0900999999999999E-2</v>
      </c>
      <c r="S703" s="274">
        <v>1.2954E-2</v>
      </c>
      <c r="T703" s="274">
        <v>2.3008000000000001E-2</v>
      </c>
      <c r="U703" s="274">
        <v>2.4841000000000002E-2</v>
      </c>
      <c r="V703" s="274">
        <v>9.7549999999999998E-3</v>
      </c>
      <c r="W703" s="274">
        <v>-4.3909999999999999E-3</v>
      </c>
      <c r="X703" s="274">
        <v>8.5269999999999999E-3</v>
      </c>
      <c r="Y703" s="274">
        <v>5.5389999999999997E-3</v>
      </c>
      <c r="Z703" s="274">
        <f ca="1">[1]ExtEntry!$M8</f>
        <v>5.5389999999999997E-3</v>
      </c>
      <c r="AB703" s="271">
        <v>4</v>
      </c>
      <c r="AC703" s="271">
        <v>5</v>
      </c>
      <c r="AD703" s="271">
        <v>5</v>
      </c>
      <c r="AE703" s="309">
        <v>2</v>
      </c>
      <c r="AF703" s="309">
        <v>2</v>
      </c>
      <c r="AG703" s="309">
        <v>5</v>
      </c>
      <c r="AH703" s="309">
        <v>1</v>
      </c>
      <c r="AI703" s="309">
        <v>1</v>
      </c>
      <c r="AJ703" s="309">
        <v>1</v>
      </c>
      <c r="AK703" s="309">
        <v>2</v>
      </c>
      <c r="AL703" s="309">
        <v>11</v>
      </c>
      <c r="AM703" s="298">
        <v>15</v>
      </c>
      <c r="AN703" s="298">
        <v>15</v>
      </c>
      <c r="AO703" s="298">
        <v>14</v>
      </c>
      <c r="AP703" s="298">
        <v>1</v>
      </c>
      <c r="AQ703" s="298">
        <v>1</v>
      </c>
      <c r="AR703" s="298">
        <v>1</v>
      </c>
      <c r="AS703" s="298">
        <v>2</v>
      </c>
      <c r="AT703" s="298">
        <v>1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-1.8988999999999999E-2</v>
      </c>
      <c r="D704" s="735">
        <f ca="1">MAX(Tab1ChangePercent[#This Row])</f>
        <v>2.3942999999999999E-2</v>
      </c>
      <c r="F704" s="274">
        <v>3.5930000000000003E-3</v>
      </c>
      <c r="G704" s="274">
        <v>2.4849999999999998E-3</v>
      </c>
      <c r="H704" s="274">
        <v>3.9950000000000003E-3</v>
      </c>
      <c r="I704" s="274">
        <v>5.6879999999999995E-3</v>
      </c>
      <c r="J704" s="274">
        <v>5.6879999999999995E-3</v>
      </c>
      <c r="K704" s="274">
        <v>1.2321E-2</v>
      </c>
      <c r="L704" s="274">
        <v>-1.6178999999999999E-2</v>
      </c>
      <c r="M704" s="274">
        <v>4.8960000000000002E-3</v>
      </c>
      <c r="N704" s="274">
        <v>-1.4990000000000001E-3</v>
      </c>
      <c r="O704" s="274">
        <v>-3.3779999999999999E-3</v>
      </c>
      <c r="P704" s="274">
        <v>-1.1250000000000001E-3</v>
      </c>
      <c r="Q704" s="274">
        <v>-4.5059999999999996E-3</v>
      </c>
      <c r="R704" s="274">
        <v>1.7833000000000002E-2</v>
      </c>
      <c r="S704" s="274">
        <v>2.3942999999999999E-2</v>
      </c>
      <c r="T704" s="274">
        <v>-4.019E-3</v>
      </c>
      <c r="U704" s="274">
        <v>-1.714E-3</v>
      </c>
      <c r="V704" s="274">
        <v>-4.169E-3</v>
      </c>
      <c r="W704" s="274">
        <v>-5.0480000000000004E-3</v>
      </c>
      <c r="X704" s="274">
        <v>4.3930000000000002E-3</v>
      </c>
      <c r="Y704" s="274">
        <v>-1.8988999999999999E-2</v>
      </c>
      <c r="Z704" s="274">
        <f ca="1">[1]ExtEntry!$M9</f>
        <v>-1.8988999999999999E-2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2</v>
      </c>
      <c r="AI704" s="309">
        <v>2</v>
      </c>
      <c r="AJ704" s="309">
        <v>3</v>
      </c>
      <c r="AK704" s="309">
        <v>4</v>
      </c>
      <c r="AL704" s="309">
        <v>4</v>
      </c>
      <c r="AM704" s="298">
        <v>9</v>
      </c>
      <c r="AN704" s="298">
        <v>9</v>
      </c>
      <c r="AO704" s="298">
        <v>1</v>
      </c>
      <c r="AP704" s="298">
        <v>2</v>
      </c>
      <c r="AQ704" s="298">
        <v>4</v>
      </c>
      <c r="AR704" s="298">
        <v>5</v>
      </c>
      <c r="AS704" s="298">
        <v>6</v>
      </c>
      <c r="AT704" s="298">
        <v>6</v>
      </c>
      <c r="AU704" s="298">
        <v>16</v>
      </c>
      <c r="AV704" s="298">
        <f t="shared" si="46"/>
        <v>16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5.4404000000000001E-2</v>
      </c>
      <c r="F705" s="274">
        <v>-4.5454999999999995E-2</v>
      </c>
      <c r="G705" s="274">
        <v>2.6939999999999999E-2</v>
      </c>
      <c r="H705" s="274">
        <v>-1.4999999999999999E-2</v>
      </c>
      <c r="I705" s="274">
        <v>-2.2612999999999998E-2</v>
      </c>
      <c r="J705" s="274">
        <v>-2.2612999999999998E-2</v>
      </c>
      <c r="K705" s="274">
        <v>-2.0619000000000002E-2</v>
      </c>
      <c r="L705" s="274">
        <v>0</v>
      </c>
      <c r="M705" s="274">
        <v>2.4875999999999999E-2</v>
      </c>
      <c r="N705" s="274">
        <v>-1.9417E-2</v>
      </c>
      <c r="O705" s="274">
        <v>1.4208E-2</v>
      </c>
      <c r="P705" s="274">
        <v>-4.9259999999999998E-3</v>
      </c>
      <c r="Q705" s="274">
        <v>-6.9306999999999994E-2</v>
      </c>
      <c r="R705" s="274">
        <v>2.1451999999999999E-2</v>
      </c>
      <c r="S705" s="274">
        <v>1.6129000000000001E-2</v>
      </c>
      <c r="T705" s="274">
        <v>-2.1164000000000002E-2</v>
      </c>
      <c r="U705" s="274">
        <v>-2.5125999999999999E-2</v>
      </c>
      <c r="V705" s="274">
        <v>-2.5773000000000001E-2</v>
      </c>
      <c r="W705" s="274">
        <v>2.1164000000000002E-2</v>
      </c>
      <c r="X705" s="274">
        <v>5.4404000000000001E-2</v>
      </c>
      <c r="Y705" s="274">
        <v>9.7560000000000008E-3</v>
      </c>
      <c r="Z705" s="274">
        <f ca="1">[1]ExtEntry!$M10</f>
        <v>9.7560000000000008E-3</v>
      </c>
      <c r="AB705" s="271">
        <v>11</v>
      </c>
      <c r="AC705" s="271">
        <v>9</v>
      </c>
      <c r="AD705" s="271">
        <v>9</v>
      </c>
      <c r="AE705" s="309">
        <v>8</v>
      </c>
      <c r="AF705" s="309">
        <v>8</v>
      </c>
      <c r="AG705" s="309">
        <v>10</v>
      </c>
      <c r="AH705" s="309">
        <v>6</v>
      </c>
      <c r="AI705" s="309">
        <v>3</v>
      </c>
      <c r="AJ705" s="309">
        <v>5</v>
      </c>
      <c r="AK705" s="309">
        <v>3</v>
      </c>
      <c r="AL705" s="309">
        <v>4</v>
      </c>
      <c r="AM705" s="298">
        <v>10</v>
      </c>
      <c r="AN705" s="298">
        <v>10</v>
      </c>
      <c r="AO705" s="298">
        <v>10</v>
      </c>
      <c r="AP705" s="298">
        <v>16</v>
      </c>
      <c r="AQ705" s="298">
        <v>9</v>
      </c>
      <c r="AR705" s="298">
        <v>12</v>
      </c>
      <c r="AS705" s="298">
        <v>10</v>
      </c>
      <c r="AT705" s="298">
        <v>3</v>
      </c>
      <c r="AU705" s="298">
        <v>1</v>
      </c>
      <c r="AV705" s="298">
        <f t="shared" si="46"/>
        <v>1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0.19280999999999998</v>
      </c>
      <c r="G706" s="274">
        <v>-0.108262</v>
      </c>
      <c r="H706" s="274">
        <v>-9.4640000000000002E-3</v>
      </c>
      <c r="I706" s="274">
        <v>-3.2569999999999999E-3</v>
      </c>
      <c r="J706" s="274">
        <v>-3.2569999999999999E-3</v>
      </c>
      <c r="K706" s="274">
        <v>8.0808000000000005E-2</v>
      </c>
      <c r="L706" s="274">
        <v>-1.1527000000000001E-2</v>
      </c>
      <c r="M706" s="274">
        <v>-4.0815999999999998E-2</v>
      </c>
      <c r="N706" s="274">
        <v>-4.2553000000000001E-2</v>
      </c>
      <c r="O706" s="274">
        <v>2.8570999999999999E-2</v>
      </c>
      <c r="P706" s="274">
        <v>-9.4940000000000007E-3</v>
      </c>
      <c r="Q706" s="274">
        <v>-2.5558999999999998E-2</v>
      </c>
      <c r="R706" s="274">
        <v>-0.04</v>
      </c>
      <c r="S706" s="274">
        <v>-0.05</v>
      </c>
      <c r="T706" s="274">
        <v>-1.0526000000000001E-2</v>
      </c>
      <c r="U706" s="274">
        <v>5.8181999999999998E-2</v>
      </c>
      <c r="V706" s="274">
        <v>0</v>
      </c>
      <c r="W706" s="274">
        <v>6.8730000000000006E-3</v>
      </c>
      <c r="X706" s="274">
        <v>1.3651999999999999E-2</v>
      </c>
      <c r="Y706" s="274">
        <v>1.0168999999999999E-2</v>
      </c>
      <c r="Z706" s="274">
        <f ca="1">[1]ExtEntry!$M11</f>
        <v>1.0168999999999999E-2</v>
      </c>
      <c r="AB706" s="271">
        <v>20</v>
      </c>
      <c r="AC706" s="271">
        <v>18</v>
      </c>
      <c r="AD706" s="271">
        <v>18</v>
      </c>
      <c r="AE706" s="309">
        <v>18</v>
      </c>
      <c r="AF706" s="309">
        <v>17</v>
      </c>
      <c r="AG706" s="309">
        <v>13</v>
      </c>
      <c r="AH706" s="309">
        <v>8</v>
      </c>
      <c r="AI706" s="309">
        <v>8</v>
      </c>
      <c r="AJ706" s="309">
        <v>14</v>
      </c>
      <c r="AK706" s="309">
        <v>8</v>
      </c>
      <c r="AL706" s="309">
        <v>15</v>
      </c>
      <c r="AM706" s="298">
        <v>18</v>
      </c>
      <c r="AN706" s="298">
        <v>18</v>
      </c>
      <c r="AO706" s="298">
        <v>20</v>
      </c>
      <c r="AP706" s="298">
        <v>20</v>
      </c>
      <c r="AQ706" s="298">
        <v>17</v>
      </c>
      <c r="AR706" s="298">
        <v>16</v>
      </c>
      <c r="AS706" s="298">
        <v>15</v>
      </c>
      <c r="AT706" s="298">
        <v>13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-2.166E-3</v>
      </c>
      <c r="G707" s="274">
        <v>-1.3514E-2</v>
      </c>
      <c r="H707" s="274">
        <v>2.3480000000000003E-3</v>
      </c>
      <c r="I707" s="274">
        <v>-7.6949999999999996E-3</v>
      </c>
      <c r="J707" s="274">
        <v>-7.6949999999999996E-3</v>
      </c>
      <c r="K707" s="274">
        <v>-6.4539999999999997E-3</v>
      </c>
      <c r="L707" s="274">
        <v>-3.1490000000000003E-3</v>
      </c>
      <c r="M707" s="274">
        <v>7.6839999999999999E-3</v>
      </c>
      <c r="N707" s="274">
        <v>1.2327999999999999E-2</v>
      </c>
      <c r="O707" s="274">
        <v>1.2389999999999999E-3</v>
      </c>
      <c r="P707" s="274">
        <v>-2.5819999999999997E-3</v>
      </c>
      <c r="Q707" s="274">
        <v>-3.0185E-2</v>
      </c>
      <c r="R707" s="274">
        <v>-6.3299999999999999E-4</v>
      </c>
      <c r="S707" s="274">
        <v>2.6379999999999997E-3</v>
      </c>
      <c r="T707" s="274">
        <v>2.1572000000000001E-2</v>
      </c>
      <c r="U707" s="274">
        <v>5.3460000000000001E-3</v>
      </c>
      <c r="V707" s="274">
        <v>1.5125E-2</v>
      </c>
      <c r="W707" s="274">
        <v>-1.5920000000000001E-3</v>
      </c>
      <c r="X707" s="274">
        <v>1.6517E-2</v>
      </c>
      <c r="Y707" s="274">
        <v>6.6790000000000009E-3</v>
      </c>
      <c r="Z707" s="274">
        <f ca="1">[1]ExtEntry!$M12</f>
        <v>6.6790000000000009E-3</v>
      </c>
      <c r="AB707" s="271">
        <v>8</v>
      </c>
      <c r="AC707" s="271">
        <v>10</v>
      </c>
      <c r="AD707" s="271">
        <v>10</v>
      </c>
      <c r="AE707" s="309">
        <v>14</v>
      </c>
      <c r="AF707" s="309">
        <v>14</v>
      </c>
      <c r="AG707" s="309">
        <v>15</v>
      </c>
      <c r="AH707" s="309">
        <v>9</v>
      </c>
      <c r="AI707" s="309">
        <v>4</v>
      </c>
      <c r="AJ707" s="309">
        <v>1</v>
      </c>
      <c r="AK707" s="309">
        <v>1</v>
      </c>
      <c r="AL707" s="309">
        <v>3</v>
      </c>
      <c r="AM707" s="298">
        <v>13</v>
      </c>
      <c r="AN707" s="298">
        <v>13</v>
      </c>
      <c r="AO707" s="298">
        <v>8</v>
      </c>
      <c r="AP707" s="298">
        <v>1</v>
      </c>
      <c r="AQ707" s="298">
        <v>5</v>
      </c>
      <c r="AR707" s="298">
        <v>1</v>
      </c>
      <c r="AS707" s="298">
        <v>2</v>
      </c>
      <c r="AT707" s="298">
        <v>1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-1.3565000000000001E-2</v>
      </c>
      <c r="G708" s="274">
        <v>-3.2452999999999996E-2</v>
      </c>
      <c r="H708" s="274">
        <v>3.9269999999999999E-3</v>
      </c>
      <c r="I708" s="274">
        <v>-1.078E-3</v>
      </c>
      <c r="J708" s="274">
        <v>-1.078E-3</v>
      </c>
      <c r="K708" s="274">
        <v>5.2430000000000003E-3</v>
      </c>
      <c r="L708" s="274">
        <v>-2.6740000000000002E-3</v>
      </c>
      <c r="M708" s="274">
        <v>1.8617999999999999E-2</v>
      </c>
      <c r="N708" s="274">
        <v>7.3109999999999994E-4</v>
      </c>
      <c r="O708" s="274">
        <v>4.895E-3</v>
      </c>
      <c r="P708" s="274">
        <v>-4.8970000000000003E-3</v>
      </c>
      <c r="Q708" s="274">
        <v>-1.7947999999999999E-2</v>
      </c>
      <c r="R708" s="274">
        <v>-3.0240000000000002E-3</v>
      </c>
      <c r="S708" s="274">
        <v>-1.9170000000000001E-3</v>
      </c>
      <c r="T708" s="274">
        <v>4.7289999999999997E-3</v>
      </c>
      <c r="U708" s="274">
        <v>-2.99E-4</v>
      </c>
      <c r="V708" s="274">
        <v>6.8779999999999996E-3</v>
      </c>
      <c r="W708" s="274">
        <v>1.1746000000000001E-2</v>
      </c>
      <c r="X708" s="274">
        <v>-5.2110000000000004E-3</v>
      </c>
      <c r="Y708" s="274">
        <v>-1.7136999999999999E-2</v>
      </c>
      <c r="Z708" s="274">
        <f ca="1">[1]ExtEntry!$M13</f>
        <v>-1.7136999999999999E-2</v>
      </c>
      <c r="AB708" s="271">
        <v>2</v>
      </c>
      <c r="AC708" s="271">
        <v>19</v>
      </c>
      <c r="AD708" s="271">
        <v>19</v>
      </c>
      <c r="AE708" s="309">
        <v>19</v>
      </c>
      <c r="AF708" s="309">
        <v>18</v>
      </c>
      <c r="AG708" s="309">
        <v>14</v>
      </c>
      <c r="AH708" s="309">
        <v>13</v>
      </c>
      <c r="AI708" s="309">
        <v>6</v>
      </c>
      <c r="AJ708" s="309">
        <v>5</v>
      </c>
      <c r="AK708" s="309">
        <v>4</v>
      </c>
      <c r="AL708" s="309">
        <v>4</v>
      </c>
      <c r="AM708" s="298">
        <v>11</v>
      </c>
      <c r="AN708" s="298">
        <v>11</v>
      </c>
      <c r="AO708" s="298">
        <v>11</v>
      </c>
      <c r="AP708" s="298">
        <v>8</v>
      </c>
      <c r="AQ708" s="298">
        <v>17</v>
      </c>
      <c r="AR708" s="298">
        <v>13</v>
      </c>
      <c r="AS708" s="298">
        <v>8</v>
      </c>
      <c r="AT708" s="298">
        <v>10</v>
      </c>
      <c r="AU708" s="298">
        <v>19</v>
      </c>
      <c r="AV708" s="298">
        <f t="shared" si="46"/>
        <v>19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8.1939999999999999E-3</v>
      </c>
      <c r="G709" s="274">
        <v>2.8022999999999999E-2</v>
      </c>
      <c r="H709" s="274">
        <v>3.1487000000000001E-2</v>
      </c>
      <c r="I709" s="274">
        <v>9.1210000000000006E-3</v>
      </c>
      <c r="J709" s="274">
        <v>9.1210000000000006E-3</v>
      </c>
      <c r="K709" s="274">
        <v>-2.114E-3</v>
      </c>
      <c r="L709" s="274">
        <v>-1.3320000000000001E-3</v>
      </c>
      <c r="M709" s="274">
        <v>4.7749999999999997E-3</v>
      </c>
      <c r="N709" s="274">
        <v>5.0309999999999999E-3</v>
      </c>
      <c r="O709" s="274">
        <v>-3.8929999999999998E-3</v>
      </c>
      <c r="P709" s="274">
        <v>1.4001E-2</v>
      </c>
      <c r="Q709" s="274">
        <v>1.2849999999999999E-2</v>
      </c>
      <c r="R709" s="274">
        <v>-8.908000000000001E-3</v>
      </c>
      <c r="S709" s="274">
        <v>-1.0392999999999999E-2</v>
      </c>
      <c r="T709" s="274">
        <v>5.0460000000000001E-3</v>
      </c>
      <c r="U709" s="274">
        <v>-4.7709000000000001E-2</v>
      </c>
      <c r="V709" s="274">
        <v>2.1065E-2</v>
      </c>
      <c r="W709" s="274">
        <v>3.108E-2</v>
      </c>
      <c r="X709" s="274">
        <v>9.5309999999999995E-3</v>
      </c>
      <c r="Y709" s="274">
        <v>4.2859999999999999E-3</v>
      </c>
      <c r="Z709" s="274">
        <f ca="1">[1]ExtEntry!$M14</f>
        <v>4.2859999999999999E-3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2</v>
      </c>
      <c r="AL709" s="309">
        <v>1</v>
      </c>
      <c r="AM709" s="298">
        <v>1</v>
      </c>
      <c r="AN709" s="298">
        <v>1</v>
      </c>
      <c r="AO709" s="298">
        <v>2</v>
      </c>
      <c r="AP709" s="298">
        <v>2</v>
      </c>
      <c r="AQ709" s="298">
        <v>14</v>
      </c>
      <c r="AR709" s="298">
        <v>7</v>
      </c>
      <c r="AS709" s="298">
        <v>2</v>
      </c>
      <c r="AT709" s="298">
        <v>1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-0.11588</v>
      </c>
      <c r="G710" s="274">
        <v>4.7850000000000004E-5</v>
      </c>
      <c r="H710" s="274">
        <v>-1.9512000000000002E-2</v>
      </c>
      <c r="I710" s="274">
        <v>-5.0239000000000006E-2</v>
      </c>
      <c r="J710" s="274">
        <v>-5.0239000000000006E-2</v>
      </c>
      <c r="K710" s="274">
        <v>0</v>
      </c>
      <c r="L710" s="274">
        <v>3.5714000000000003E-2</v>
      </c>
      <c r="M710" s="274">
        <v>-1.6055E-2</v>
      </c>
      <c r="N710" s="274">
        <v>0.193023</v>
      </c>
      <c r="O710" s="274">
        <v>-5.3047000000000004E-2</v>
      </c>
      <c r="P710" s="274">
        <v>-4.5643000000000003E-2</v>
      </c>
      <c r="Q710" s="274">
        <v>-4.1304E-2</v>
      </c>
      <c r="R710" s="274">
        <v>-2.7385000000000003E-2</v>
      </c>
      <c r="S710" s="274">
        <v>-5.9633000000000005E-2</v>
      </c>
      <c r="T710" s="274">
        <v>0</v>
      </c>
      <c r="U710" s="274">
        <v>2.3584999999999998E-2</v>
      </c>
      <c r="V710" s="274">
        <v>-3.2258000000000002E-2</v>
      </c>
      <c r="W710" s="274">
        <v>9.5239999999999995E-3</v>
      </c>
      <c r="X710" s="274">
        <v>6.1321000000000001E-2</v>
      </c>
      <c r="Y710" s="274">
        <v>-1.1110999999999999E-2</v>
      </c>
      <c r="Z710" s="274">
        <f ca="1">[1]ExtEntry!$M15</f>
        <v>-1.1110999999999999E-2</v>
      </c>
      <c r="AB710" s="271">
        <v>2</v>
      </c>
      <c r="AC710" s="271">
        <v>3</v>
      </c>
      <c r="AD710" s="271">
        <v>3</v>
      </c>
      <c r="AE710" s="309">
        <v>6</v>
      </c>
      <c r="AF710" s="309">
        <v>6</v>
      </c>
      <c r="AG710" s="309">
        <v>8</v>
      </c>
      <c r="AH710" s="309">
        <v>3</v>
      </c>
      <c r="AI710" s="309">
        <v>4</v>
      </c>
      <c r="AJ710" s="309">
        <v>1</v>
      </c>
      <c r="AK710" s="309">
        <v>2</v>
      </c>
      <c r="AL710" s="309">
        <v>3</v>
      </c>
      <c r="AM710" s="298">
        <v>5</v>
      </c>
      <c r="AN710" s="298">
        <v>5</v>
      </c>
      <c r="AO710" s="298">
        <v>9</v>
      </c>
      <c r="AP710" s="298">
        <v>12</v>
      </c>
      <c r="AQ710" s="298">
        <v>8</v>
      </c>
      <c r="AR710" s="298">
        <v>11</v>
      </c>
      <c r="AS710" s="298">
        <v>11</v>
      </c>
      <c r="AT710" s="298">
        <v>4</v>
      </c>
      <c r="AU710" s="298">
        <v>5</v>
      </c>
      <c r="AV710" s="298">
        <f t="shared" si="46"/>
        <v>5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1.2182999999999999E-2</v>
      </c>
      <c r="F711" s="274">
        <v>-3.7290000000000001E-3</v>
      </c>
      <c r="G711" s="274">
        <v>5.5889999999999998E-4</v>
      </c>
      <c r="H711" s="274">
        <v>8.2760000000000004E-3</v>
      </c>
      <c r="I711" s="274">
        <v>-3.4749999999999998E-3</v>
      </c>
      <c r="J711" s="274">
        <v>-3.4749999999999998E-3</v>
      </c>
      <c r="K711" s="274">
        <v>6.7949999999999998E-3</v>
      </c>
      <c r="L711" s="274">
        <v>-9.4230000000000008E-3</v>
      </c>
      <c r="M711" s="274">
        <v>-5.0969999999999998E-4</v>
      </c>
      <c r="N711" s="274">
        <v>3.5699999999999998E-3</v>
      </c>
      <c r="O711" s="274">
        <v>-8.5529999999999998E-3</v>
      </c>
      <c r="P711" s="274">
        <v>6.2900000000000005E-3</v>
      </c>
      <c r="Q711" s="274">
        <v>-1.3431E-2</v>
      </c>
      <c r="R711" s="274">
        <v>-1.3782000000000001E-2</v>
      </c>
      <c r="S711" s="274">
        <v>-7.5249999999999996E-3</v>
      </c>
      <c r="T711" s="274">
        <v>1.2182999999999999E-2</v>
      </c>
      <c r="U711" s="274">
        <v>7.8869999999999999E-3</v>
      </c>
      <c r="V711" s="274">
        <v>-1.2454E-2</v>
      </c>
      <c r="W711" s="274">
        <v>-1.3206000000000001E-2</v>
      </c>
      <c r="X711" s="274">
        <v>1.1701999999999999E-2</v>
      </c>
      <c r="Y711" s="274">
        <v>-9.4809999999999998E-3</v>
      </c>
      <c r="Z711" s="274">
        <f ca="1">[1]ExtEntry!$M16</f>
        <v>-9.4809999999999998E-3</v>
      </c>
      <c r="AB711" s="271">
        <v>19</v>
      </c>
      <c r="AC711" s="271">
        <v>17</v>
      </c>
      <c r="AD711" s="271">
        <v>17</v>
      </c>
      <c r="AE711" s="309">
        <v>18</v>
      </c>
      <c r="AF711" s="309">
        <v>17</v>
      </c>
      <c r="AG711" s="309">
        <v>11</v>
      </c>
      <c r="AH711" s="309">
        <v>10</v>
      </c>
      <c r="AI711" s="309">
        <v>10</v>
      </c>
      <c r="AJ711" s="309">
        <v>8</v>
      </c>
      <c r="AK711" s="309">
        <v>10</v>
      </c>
      <c r="AL711" s="309">
        <v>6</v>
      </c>
      <c r="AM711" s="298">
        <v>11</v>
      </c>
      <c r="AN711" s="298">
        <v>11</v>
      </c>
      <c r="AO711" s="298">
        <v>11</v>
      </c>
      <c r="AP711" s="298">
        <v>1</v>
      </c>
      <c r="AQ711" s="298">
        <v>1</v>
      </c>
      <c r="AR711" s="298">
        <v>9</v>
      </c>
      <c r="AS711" s="298">
        <v>18</v>
      </c>
      <c r="AT711" s="298">
        <v>9</v>
      </c>
      <c r="AU711" s="298">
        <v>19</v>
      </c>
      <c r="AV711" s="298">
        <f t="shared" si="46"/>
        <v>19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-4.8560000000000001E-3</v>
      </c>
      <c r="G712" s="274">
        <v>1.3138E-2</v>
      </c>
      <c r="H712" s="274">
        <v>-7.0660000000000002E-3</v>
      </c>
      <c r="I712" s="274">
        <v>1.0479E-2</v>
      </c>
      <c r="J712" s="274">
        <v>1.0479E-2</v>
      </c>
      <c r="K712" s="274">
        <v>1.0741000000000001E-2</v>
      </c>
      <c r="L712" s="274">
        <v>-1.2532000000000001E-2</v>
      </c>
      <c r="M712" s="274">
        <v>-1.2690999999999999E-2</v>
      </c>
      <c r="N712" s="274">
        <v>1.4744999999999999E-2</v>
      </c>
      <c r="O712" s="274">
        <v>5.2159999999999993E-3</v>
      </c>
      <c r="P712" s="274">
        <v>3.3829999999999997E-3</v>
      </c>
      <c r="Q712" s="274">
        <v>-1.0518000000000001E-2</v>
      </c>
      <c r="R712" s="274">
        <v>4.5579999999999996E-3</v>
      </c>
      <c r="S712" s="274">
        <v>-3.7639999999999999E-4</v>
      </c>
      <c r="T712" s="274">
        <v>4.4879999999999998E-3</v>
      </c>
      <c r="U712" s="274">
        <v>2.1642000000000002E-2</v>
      </c>
      <c r="V712" s="274">
        <v>1.6434999999999998E-2</v>
      </c>
      <c r="W712" s="274">
        <v>-1.6888E-2</v>
      </c>
      <c r="X712" s="274">
        <v>-2.5580000000000004E-3</v>
      </c>
      <c r="Y712" s="274">
        <v>9.894E-3</v>
      </c>
      <c r="Z712" s="274">
        <f ca="1">[1]ExtEntry!$M17</f>
        <v>9.894E-3</v>
      </c>
      <c r="AB712" s="271">
        <v>19</v>
      </c>
      <c r="AC712" s="271">
        <v>17</v>
      </c>
      <c r="AD712" s="271">
        <v>17</v>
      </c>
      <c r="AE712" s="309">
        <v>15</v>
      </c>
      <c r="AF712" s="309">
        <v>14</v>
      </c>
      <c r="AG712" s="309">
        <v>13</v>
      </c>
      <c r="AH712" s="309">
        <v>16</v>
      </c>
      <c r="AI712" s="309">
        <v>20</v>
      </c>
      <c r="AJ712" s="309">
        <v>14</v>
      </c>
      <c r="AK712" s="309">
        <v>13</v>
      </c>
      <c r="AL712" s="309">
        <v>17</v>
      </c>
      <c r="AM712" s="298">
        <v>20</v>
      </c>
      <c r="AN712" s="298">
        <v>20</v>
      </c>
      <c r="AO712" s="298">
        <v>18</v>
      </c>
      <c r="AP712" s="298">
        <v>9</v>
      </c>
      <c r="AQ712" s="298">
        <v>3</v>
      </c>
      <c r="AR712" s="298">
        <v>1</v>
      </c>
      <c r="AS712" s="298">
        <v>3</v>
      </c>
      <c r="AT712" s="298">
        <v>4</v>
      </c>
      <c r="AU712" s="298">
        <v>2</v>
      </c>
      <c r="AV712" s="298">
        <f t="shared" si="46"/>
        <v>2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-1.0690999999999999E-2</v>
      </c>
      <c r="G713" s="274">
        <v>4.725E-3</v>
      </c>
      <c r="H713" s="274">
        <v>5.0970000000000008E-3</v>
      </c>
      <c r="I713" s="274">
        <v>2.1614000000000001E-2</v>
      </c>
      <c r="J713" s="274">
        <v>2.1614000000000001E-2</v>
      </c>
      <c r="K713" s="274">
        <v>5.7799999999999995E-3</v>
      </c>
      <c r="L713" s="274">
        <v>-2.1587000000000002E-2</v>
      </c>
      <c r="M713" s="274">
        <v>9.8300000000000002E-3</v>
      </c>
      <c r="N713" s="274">
        <v>-8.0759999999999998E-3</v>
      </c>
      <c r="O713" s="274">
        <v>-1.8610999999999999E-2</v>
      </c>
      <c r="P713" s="274">
        <v>1.2718E-2</v>
      </c>
      <c r="Q713" s="274">
        <v>-1.2485E-2</v>
      </c>
      <c r="R713" s="274">
        <v>-2.9210000000000004E-3</v>
      </c>
      <c r="S713" s="274">
        <v>-7.156E-3</v>
      </c>
      <c r="T713" s="274">
        <v>-3.0149999999999999E-3</v>
      </c>
      <c r="U713" s="274">
        <v>-2.4298E-2</v>
      </c>
      <c r="V713" s="274">
        <v>1.6355999999999999E-2</v>
      </c>
      <c r="W713" s="274">
        <v>-3.2551000000000004E-2</v>
      </c>
      <c r="X713" s="274">
        <v>8.4679999999999998E-3</v>
      </c>
      <c r="Y713" s="274">
        <v>-1.126E-3</v>
      </c>
      <c r="Z713" s="274">
        <f ca="1">[1]ExtEntry!$M18</f>
        <v>-1.126E-3</v>
      </c>
      <c r="AB713" s="271">
        <v>19</v>
      </c>
      <c r="AC713" s="271">
        <v>17</v>
      </c>
      <c r="AD713" s="271">
        <v>17</v>
      </c>
      <c r="AE713" s="309">
        <v>15</v>
      </c>
      <c r="AF713" s="309">
        <v>14</v>
      </c>
      <c r="AG713" s="309">
        <v>13</v>
      </c>
      <c r="AH713" s="309">
        <v>13</v>
      </c>
      <c r="AI713" s="309">
        <v>8</v>
      </c>
      <c r="AJ713" s="309">
        <v>11</v>
      </c>
      <c r="AK713" s="309">
        <v>17</v>
      </c>
      <c r="AL713" s="309">
        <v>9</v>
      </c>
      <c r="AM713" s="298">
        <v>15</v>
      </c>
      <c r="AN713" s="298">
        <v>15</v>
      </c>
      <c r="AO713" s="298">
        <v>11</v>
      </c>
      <c r="AP713" s="298">
        <v>15</v>
      </c>
      <c r="AQ713" s="298">
        <v>18</v>
      </c>
      <c r="AR713" s="298">
        <v>7</v>
      </c>
      <c r="AS713" s="298">
        <v>19</v>
      </c>
      <c r="AT713" s="298">
        <v>18</v>
      </c>
      <c r="AU713" s="298">
        <v>19</v>
      </c>
      <c r="AV713" s="298">
        <f t="shared" si="46"/>
        <v>19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-3.5739E-2</v>
      </c>
      <c r="D714" s="735">
        <f ca="1">MAX(Tab1ChangePercent[#This Row])</f>
        <v>2.3206999999999998E-2</v>
      </c>
      <c r="F714" s="274">
        <v>-1.4759E-2</v>
      </c>
      <c r="G714" s="274">
        <v>5.8060000000000004E-3</v>
      </c>
      <c r="H714" s="274">
        <v>1.167E-2</v>
      </c>
      <c r="I714" s="274">
        <v>3.2329999999999998E-3</v>
      </c>
      <c r="J714" s="274">
        <v>3.2329999999999998E-3</v>
      </c>
      <c r="K714" s="274">
        <v>-1.9327E-2</v>
      </c>
      <c r="L714" s="274">
        <v>-1.1719E-2</v>
      </c>
      <c r="M714" s="274">
        <v>4.2580000000000005E-3</v>
      </c>
      <c r="N714" s="274">
        <v>1.1307000000000001E-2</v>
      </c>
      <c r="O714" s="274">
        <v>-9.7619999999999998E-3</v>
      </c>
      <c r="P714" s="274">
        <v>1.8322999999999999E-2</v>
      </c>
      <c r="Q714" s="274">
        <v>-2.1453000000000003E-2</v>
      </c>
      <c r="R714" s="274">
        <v>-3.4889999999999999E-3</v>
      </c>
      <c r="S714" s="274">
        <v>1.1862999999999999E-2</v>
      </c>
      <c r="T714" s="274">
        <v>0</v>
      </c>
      <c r="U714" s="274">
        <v>-9.4660000000000005E-3</v>
      </c>
      <c r="V714" s="274">
        <v>-1.5017000000000001E-2</v>
      </c>
      <c r="W714" s="274">
        <v>-1.4553E-2</v>
      </c>
      <c r="X714" s="274">
        <v>2.3206999999999998E-2</v>
      </c>
      <c r="Y714" s="274">
        <v>-3.5739E-2</v>
      </c>
      <c r="Z714" s="274">
        <f ca="1">[1]ExtEntry!$M19</f>
        <v>-3.5739E-2</v>
      </c>
      <c r="AB714" s="271">
        <v>13</v>
      </c>
      <c r="AC714" s="271">
        <v>11</v>
      </c>
      <c r="AD714" s="271">
        <v>11</v>
      </c>
      <c r="AE714" s="309">
        <v>9</v>
      </c>
      <c r="AF714" s="309">
        <v>8</v>
      </c>
      <c r="AG714" s="309">
        <v>13</v>
      </c>
      <c r="AH714" s="309">
        <v>6</v>
      </c>
      <c r="AI714" s="309">
        <v>5</v>
      </c>
      <c r="AJ714" s="309">
        <v>2</v>
      </c>
      <c r="AK714" s="309">
        <v>4</v>
      </c>
      <c r="AL714" s="309">
        <v>1</v>
      </c>
      <c r="AM714" s="298">
        <v>5</v>
      </c>
      <c r="AN714" s="298">
        <v>5</v>
      </c>
      <c r="AO714" s="298">
        <v>3</v>
      </c>
      <c r="AP714" s="298">
        <v>1</v>
      </c>
      <c r="AQ714" s="298">
        <v>1</v>
      </c>
      <c r="AR714" s="298">
        <v>5</v>
      </c>
      <c r="AS714" s="298">
        <v>8</v>
      </c>
      <c r="AT714" s="298">
        <v>2</v>
      </c>
      <c r="AU714" s="298">
        <v>14</v>
      </c>
      <c r="AV714" s="298">
        <f t="shared" si="46"/>
        <v>14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1.5038000000000001E-2</v>
      </c>
      <c r="F715" s="274">
        <v>-9.3749999999999997E-4</v>
      </c>
      <c r="G715" s="274">
        <v>-8.4450000000000011E-3</v>
      </c>
      <c r="H715" s="274">
        <v>-4.4349999999999997E-3</v>
      </c>
      <c r="I715" s="274">
        <v>-4.4400000000000004E-3</v>
      </c>
      <c r="J715" s="274">
        <v>-4.4400000000000004E-3</v>
      </c>
      <c r="K715" s="274">
        <v>-5.0970000000000008E-3</v>
      </c>
      <c r="L715" s="274">
        <v>-1.9420000000000001E-3</v>
      </c>
      <c r="M715" s="274">
        <v>1.0055000000000001E-2</v>
      </c>
      <c r="N715" s="274">
        <v>6.744E-3</v>
      </c>
      <c r="O715" s="274">
        <v>-1.0206999999999999E-2</v>
      </c>
      <c r="P715" s="274">
        <v>-9.1830000000000002E-3</v>
      </c>
      <c r="Q715" s="274">
        <v>-2.5564E-2</v>
      </c>
      <c r="R715" s="274">
        <v>-7.4750000000000007E-3</v>
      </c>
      <c r="S715" s="274">
        <v>1.1792E-2</v>
      </c>
      <c r="T715" s="274">
        <v>7.705E-3</v>
      </c>
      <c r="U715" s="274">
        <v>1.1203000000000001E-2</v>
      </c>
      <c r="V715" s="274">
        <v>-2.6069999999999999E-3</v>
      </c>
      <c r="W715" s="274">
        <v>1.6329999999999999E-3</v>
      </c>
      <c r="X715" s="274">
        <v>-2.2829999999999999E-3</v>
      </c>
      <c r="Y715" s="274">
        <v>1.5038000000000001E-2</v>
      </c>
      <c r="Z715" s="274">
        <f ca="1">[1]ExtEntry!$M20</f>
        <v>1.5038000000000001E-2</v>
      </c>
      <c r="AB715" s="271">
        <v>8</v>
      </c>
      <c r="AC715" s="271">
        <v>14</v>
      </c>
      <c r="AD715" s="271">
        <v>14</v>
      </c>
      <c r="AE715" s="309">
        <v>20</v>
      </c>
      <c r="AF715" s="309">
        <v>19</v>
      </c>
      <c r="AG715" s="309">
        <v>20</v>
      </c>
      <c r="AH715" s="309">
        <v>20</v>
      </c>
      <c r="AI715" s="309">
        <v>19</v>
      </c>
      <c r="AJ715" s="309">
        <v>17</v>
      </c>
      <c r="AK715" s="309">
        <v>19</v>
      </c>
      <c r="AL715" s="309">
        <v>20</v>
      </c>
      <c r="AM715" s="298">
        <v>20</v>
      </c>
      <c r="AN715" s="298">
        <v>20</v>
      </c>
      <c r="AO715" s="298">
        <v>20</v>
      </c>
      <c r="AP715" s="298">
        <v>17</v>
      </c>
      <c r="AQ715" s="298">
        <v>15</v>
      </c>
      <c r="AR715" s="298">
        <v>15</v>
      </c>
      <c r="AS715" s="298">
        <v>14</v>
      </c>
      <c r="AT715" s="298">
        <v>15</v>
      </c>
      <c r="AU715" s="298">
        <v>9</v>
      </c>
      <c r="AV715" s="298">
        <f t="shared" si="46"/>
        <v>9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-5.2080000000000008E-3</v>
      </c>
      <c r="G716" s="274">
        <v>-2.7600000000000003E-3</v>
      </c>
      <c r="H716" s="274">
        <v>-7.7720000000000003E-3</v>
      </c>
      <c r="I716" s="274">
        <v>5.2359999999999993E-3</v>
      </c>
      <c r="J716" s="274">
        <v>5.2359999999999993E-3</v>
      </c>
      <c r="K716" s="274">
        <v>1.0470999999999999E-2</v>
      </c>
      <c r="L716" s="274">
        <v>2.2744770000000001</v>
      </c>
      <c r="M716" s="274">
        <v>-0.66381299999999999</v>
      </c>
      <c r="N716" s="274">
        <v>-6.6515000000000005E-2</v>
      </c>
      <c r="O716" s="274">
        <v>-4.3567000000000002E-2</v>
      </c>
      <c r="P716" s="274">
        <v>2.1277000000000001E-2</v>
      </c>
      <c r="Q716" s="274">
        <v>-2.75E-2</v>
      </c>
      <c r="R716" s="274">
        <v>-1.5913E-2</v>
      </c>
      <c r="S716" s="274">
        <v>-9.6309999999999989E-3</v>
      </c>
      <c r="T716" s="274">
        <v>-2.0718999999999998E-2</v>
      </c>
      <c r="U716" s="274">
        <v>1.7174999999999999E-2</v>
      </c>
      <c r="V716" s="274">
        <v>1.3086E-2</v>
      </c>
      <c r="W716" s="274">
        <v>-0.14583299999999999</v>
      </c>
      <c r="X716" s="274">
        <v>0</v>
      </c>
      <c r="Y716" s="274">
        <v>-1.2652000000000002E-2</v>
      </c>
      <c r="Z716" s="274">
        <f ca="1">[1]ExtEntry!$M21</f>
        <v>-1.2652000000000002E-2</v>
      </c>
      <c r="AB716" s="271">
        <v>1</v>
      </c>
      <c r="AC716" s="271">
        <v>2</v>
      </c>
      <c r="AD716" s="271">
        <v>2</v>
      </c>
      <c r="AE716" s="309">
        <v>1</v>
      </c>
      <c r="AF716" s="309">
        <v>1</v>
      </c>
      <c r="AG716" s="309">
        <v>1</v>
      </c>
      <c r="AH716" s="309">
        <v>20</v>
      </c>
      <c r="AI716" s="309">
        <v>20</v>
      </c>
      <c r="AJ716" s="309">
        <v>20</v>
      </c>
      <c r="AK716" s="309">
        <v>20</v>
      </c>
      <c r="AL716" s="309">
        <v>19</v>
      </c>
      <c r="AM716" s="298">
        <v>20</v>
      </c>
      <c r="AN716" s="298">
        <v>20</v>
      </c>
      <c r="AO716" s="298">
        <v>18</v>
      </c>
      <c r="AP716" s="298">
        <v>20</v>
      </c>
      <c r="AQ716" s="298">
        <v>15</v>
      </c>
      <c r="AR716" s="298">
        <v>13</v>
      </c>
      <c r="AS716" s="298">
        <v>20</v>
      </c>
      <c r="AT716" s="298">
        <v>19</v>
      </c>
      <c r="AU716" s="298">
        <v>20</v>
      </c>
      <c r="AV716" s="298">
        <f t="shared" si="46"/>
        <v>20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2.3543999999999999E-2</v>
      </c>
      <c r="F717" s="274">
        <v>3.2390000000000001E-3</v>
      </c>
      <c r="G717" s="274">
        <v>1.9500000000000001E-3</v>
      </c>
      <c r="H717" s="274">
        <v>7.5120000000000004E-4</v>
      </c>
      <c r="I717" s="274">
        <v>1.2982E-2</v>
      </c>
      <c r="J717" s="274">
        <v>1.2982E-2</v>
      </c>
      <c r="K717" s="274">
        <v>-4.5570000000000003E-3</v>
      </c>
      <c r="L717" s="274">
        <v>-1.6280000000000001E-3</v>
      </c>
      <c r="M717" s="274">
        <v>8.9219999999999994E-3</v>
      </c>
      <c r="N717" s="274">
        <v>-1.0199999999999999E-3</v>
      </c>
      <c r="O717" s="274">
        <v>-1.2766E-2</v>
      </c>
      <c r="P717" s="274">
        <v>1.7100000000000001E-3</v>
      </c>
      <c r="Q717" s="274">
        <v>-8.7050000000000009E-3</v>
      </c>
      <c r="R717" s="274">
        <v>-4.4419999999999998E-3</v>
      </c>
      <c r="S717" s="274">
        <v>-1.3325999999999999E-2</v>
      </c>
      <c r="T717" s="274">
        <v>6.9259999999999999E-3</v>
      </c>
      <c r="U717" s="274">
        <v>-5.1479999999999994E-4</v>
      </c>
      <c r="V717" s="274">
        <v>-3.0930000000000003E-3</v>
      </c>
      <c r="W717" s="274">
        <v>-1.1464E-2</v>
      </c>
      <c r="X717" s="274">
        <v>2.3543999999999999E-2</v>
      </c>
      <c r="Y717" s="274">
        <v>-3.4920000000000003E-3</v>
      </c>
      <c r="Z717" s="274">
        <f ca="1">[1]ExtEntry!$M22</f>
        <v>-3.4920000000000003E-3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3</v>
      </c>
      <c r="AH717" s="309">
        <v>1</v>
      </c>
      <c r="AI717" s="309">
        <v>1</v>
      </c>
      <c r="AJ717" s="309">
        <v>2</v>
      </c>
      <c r="AK717" s="309">
        <v>4</v>
      </c>
      <c r="AL717" s="309">
        <v>3</v>
      </c>
      <c r="AM717" s="298">
        <v>5</v>
      </c>
      <c r="AN717" s="298">
        <v>5</v>
      </c>
      <c r="AO717" s="298">
        <v>5</v>
      </c>
      <c r="AP717" s="298">
        <v>6</v>
      </c>
      <c r="AQ717" s="298">
        <v>6</v>
      </c>
      <c r="AR717" s="298">
        <v>9</v>
      </c>
      <c r="AS717" s="298">
        <v>12</v>
      </c>
      <c r="AT717" s="298">
        <v>3</v>
      </c>
      <c r="AU717" s="298">
        <v>5</v>
      </c>
      <c r="AV717" s="298">
        <f t="shared" si="46"/>
        <v>5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-1.6929E-2</v>
      </c>
      <c r="G718" s="274">
        <v>-3.0490000000000001E-3</v>
      </c>
      <c r="H718" s="274">
        <v>9.6880000000000004E-3</v>
      </c>
      <c r="I718" s="274">
        <v>-9.245999999999999E-3</v>
      </c>
      <c r="J718" s="274">
        <v>-9.245999999999999E-3</v>
      </c>
      <c r="K718" s="274">
        <v>-1.3824000000000001E-2</v>
      </c>
      <c r="L718" s="274">
        <v>5.3449999999999999E-3</v>
      </c>
      <c r="M718" s="274">
        <v>-2.4380000000000001E-3</v>
      </c>
      <c r="N718" s="274">
        <v>9.111000000000001E-3</v>
      </c>
      <c r="O718" s="274">
        <v>2.0897000000000002E-2</v>
      </c>
      <c r="P718" s="274">
        <v>-2.5474999999999998E-2</v>
      </c>
      <c r="Q718" s="274">
        <v>-9.9690000000000004E-3</v>
      </c>
      <c r="R718" s="274">
        <v>-1.323E-3</v>
      </c>
      <c r="S718" s="274">
        <v>6.1729999999999997E-3</v>
      </c>
      <c r="T718" s="274">
        <v>1.4899000000000001E-2</v>
      </c>
      <c r="U718" s="274">
        <v>-6.378E-4</v>
      </c>
      <c r="V718" s="274">
        <v>1.6383000000000002E-2</v>
      </c>
      <c r="W718" s="274">
        <v>2.3451E-2</v>
      </c>
      <c r="X718" s="274">
        <v>1.7184999999999999E-2</v>
      </c>
      <c r="Y718" s="274">
        <v>-5.0280000000000004E-3</v>
      </c>
      <c r="Z718" s="274">
        <f ca="1">[1]ExtEntry!$M23</f>
        <v>-5.0280000000000004E-3</v>
      </c>
      <c r="AB718" s="271">
        <v>1</v>
      </c>
      <c r="AC718" s="271">
        <v>3</v>
      </c>
      <c r="AD718" s="271">
        <v>3</v>
      </c>
      <c r="AE718" s="309">
        <v>1</v>
      </c>
      <c r="AF718" s="309">
        <v>1</v>
      </c>
      <c r="AG718" s="309">
        <v>8</v>
      </c>
      <c r="AH718" s="309">
        <v>1</v>
      </c>
      <c r="AI718" s="309">
        <v>2</v>
      </c>
      <c r="AJ718" s="309">
        <v>1</v>
      </c>
      <c r="AK718" s="309">
        <v>1</v>
      </c>
      <c r="AL718" s="309">
        <v>3</v>
      </c>
      <c r="AM718" s="298">
        <v>6</v>
      </c>
      <c r="AN718" s="298">
        <v>6</v>
      </c>
      <c r="AO718" s="298">
        <v>3</v>
      </c>
      <c r="AP718" s="298">
        <v>2</v>
      </c>
      <c r="AQ718" s="298">
        <v>1</v>
      </c>
      <c r="AR718" s="298">
        <v>1</v>
      </c>
      <c r="AS718" s="298">
        <v>1</v>
      </c>
      <c r="AT718" s="298">
        <v>1</v>
      </c>
      <c r="AU718" s="298">
        <v>2</v>
      </c>
      <c r="AV718" s="298">
        <f t="shared" si="46"/>
        <v>2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-1.5106999999999999E-2</v>
      </c>
      <c r="G719" s="274">
        <v>-7.4270000000000004E-3</v>
      </c>
      <c r="H719" s="274">
        <v>5.6100000000000004E-3</v>
      </c>
      <c r="I719" s="274">
        <v>1.0621999999999999E-2</v>
      </c>
      <c r="J719" s="274">
        <v>1.0621999999999999E-2</v>
      </c>
      <c r="K719" s="274">
        <v>-1.9630000000000002E-2</v>
      </c>
      <c r="L719" s="274">
        <v>-8.652E-3</v>
      </c>
      <c r="M719" s="274">
        <v>-1.7818000000000001E-2</v>
      </c>
      <c r="N719" s="274">
        <v>4.8130000000000004E-3</v>
      </c>
      <c r="O719" s="274">
        <v>2.8586999999999998E-2</v>
      </c>
      <c r="P719" s="274">
        <v>6.7020000000000005E-3</v>
      </c>
      <c r="Q719" s="274">
        <v>-1.3139000000000001E-2</v>
      </c>
      <c r="R719" s="274">
        <v>-1.0194000000000002E-2</v>
      </c>
      <c r="S719" s="274">
        <v>-8.293E-3</v>
      </c>
      <c r="T719" s="274">
        <v>7.6659999999999992E-3</v>
      </c>
      <c r="U719" s="274">
        <v>8.5209999999999995E-4</v>
      </c>
      <c r="V719" s="274">
        <v>-1.0562E-2</v>
      </c>
      <c r="W719" s="274">
        <v>-1.3252E-2</v>
      </c>
      <c r="X719" s="274">
        <v>-1.2339999999999999E-3</v>
      </c>
      <c r="Y719" s="274">
        <v>-1.3585E-2</v>
      </c>
      <c r="Z719" s="274">
        <f ca="1">[1]ExtEntry!$M24</f>
        <v>-1.3585E-2</v>
      </c>
      <c r="AB719" s="271">
        <v>1</v>
      </c>
      <c r="AC719" s="271">
        <v>2</v>
      </c>
      <c r="AD719" s="271">
        <v>2</v>
      </c>
      <c r="AE719" s="309">
        <v>1</v>
      </c>
      <c r="AF719" s="309">
        <v>1</v>
      </c>
      <c r="AG719" s="309">
        <v>8</v>
      </c>
      <c r="AH719" s="309">
        <v>1</v>
      </c>
      <c r="AI719" s="309">
        <v>4</v>
      </c>
      <c r="AJ719" s="309">
        <v>2</v>
      </c>
      <c r="AK719" s="309">
        <v>1</v>
      </c>
      <c r="AL719" s="309">
        <v>1</v>
      </c>
      <c r="AM719" s="298">
        <v>2</v>
      </c>
      <c r="AN719" s="298">
        <v>2</v>
      </c>
      <c r="AO719" s="298">
        <v>1</v>
      </c>
      <c r="AP719" s="298">
        <v>1</v>
      </c>
      <c r="AQ719" s="298">
        <v>1</v>
      </c>
      <c r="AR719" s="298">
        <v>2</v>
      </c>
      <c r="AS719" s="298">
        <v>7</v>
      </c>
      <c r="AT719" s="298">
        <v>8</v>
      </c>
      <c r="AU719" s="298">
        <v>10</v>
      </c>
      <c r="AV719" s="298">
        <f t="shared" si="46"/>
        <v>10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-1.041E-3</v>
      </c>
      <c r="G720" s="274">
        <v>5.2080000000000008E-3</v>
      </c>
      <c r="H720" s="274">
        <v>3.6129999999999999E-3</v>
      </c>
      <c r="I720" s="274">
        <v>0.01</v>
      </c>
      <c r="J720" s="274">
        <v>0.01</v>
      </c>
      <c r="K720" s="274">
        <v>-1.5486E-2</v>
      </c>
      <c r="L720" s="274">
        <v>2.281E-2</v>
      </c>
      <c r="M720" s="274">
        <v>-5.0680000000000005E-3</v>
      </c>
      <c r="N720" s="274">
        <v>-2.0376999999999999E-2</v>
      </c>
      <c r="O720" s="274">
        <v>1.2741000000000001E-2</v>
      </c>
      <c r="P720" s="274">
        <v>2.0152E-2</v>
      </c>
      <c r="Q720" s="274">
        <v>-3.9634000000000003E-2</v>
      </c>
      <c r="R720" s="274">
        <v>2.6480999999999998E-2</v>
      </c>
      <c r="S720" s="274">
        <v>-7.6730000000000006E-4</v>
      </c>
      <c r="T720" s="274">
        <v>2.0509999999999999E-3</v>
      </c>
      <c r="U720" s="274">
        <v>8.9580000000000007E-3</v>
      </c>
      <c r="V720" s="274">
        <v>9.3860000000000002E-3</v>
      </c>
      <c r="W720" s="274">
        <v>-4.0714E-2</v>
      </c>
      <c r="X720" s="274">
        <v>1.572E-3</v>
      </c>
      <c r="Y720" s="274">
        <v>-7.8469999999999994E-4</v>
      </c>
      <c r="Z720" s="274">
        <f ca="1">[1]ExtEntry!$M25</f>
        <v>-7.8469999999999994E-4</v>
      </c>
      <c r="AB720" s="271">
        <v>2</v>
      </c>
      <c r="AC720" s="271">
        <v>1</v>
      </c>
      <c r="AD720" s="271">
        <v>1</v>
      </c>
      <c r="AE720" s="309">
        <v>1</v>
      </c>
      <c r="AF720" s="309">
        <v>1</v>
      </c>
      <c r="AG720" s="309">
        <v>4</v>
      </c>
      <c r="AH720" s="309">
        <v>1</v>
      </c>
      <c r="AI720" s="309">
        <v>4</v>
      </c>
      <c r="AJ720" s="309">
        <v>9</v>
      </c>
      <c r="AK720" s="309">
        <v>5</v>
      </c>
      <c r="AL720" s="309">
        <v>5</v>
      </c>
      <c r="AM720" s="298">
        <v>16</v>
      </c>
      <c r="AN720" s="298">
        <v>16</v>
      </c>
      <c r="AO720" s="298">
        <v>5</v>
      </c>
      <c r="AP720" s="298">
        <v>6</v>
      </c>
      <c r="AQ720" s="298">
        <v>2</v>
      </c>
      <c r="AR720" s="298">
        <v>1</v>
      </c>
      <c r="AS720" s="298">
        <v>19</v>
      </c>
      <c r="AT720" s="298">
        <v>18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-2.0104999999999998E-2</v>
      </c>
      <c r="D721" s="735">
        <f ca="1">MAX(Tab1ChangePercent[#This Row])</f>
        <v>1.5767E-2</v>
      </c>
      <c r="F721" s="274">
        <v>-1.1019000000000001E-2</v>
      </c>
      <c r="G721" s="274">
        <v>1.0598000000000002E-2</v>
      </c>
      <c r="H721" s="274">
        <v>6.888E-3</v>
      </c>
      <c r="I721" s="274">
        <v>1.4411E-2</v>
      </c>
      <c r="J721" s="274">
        <v>1.4411E-2</v>
      </c>
      <c r="K721" s="274">
        <v>1.5553999999999998E-2</v>
      </c>
      <c r="L721" s="274">
        <v>7.9069999999999991E-3</v>
      </c>
      <c r="M721" s="274">
        <v>-1.6538000000000001E-2</v>
      </c>
      <c r="N721" s="274">
        <v>-1.5075E-2</v>
      </c>
      <c r="O721" s="274">
        <v>-1.7063999999999999E-2</v>
      </c>
      <c r="P721" s="274">
        <v>5.633E-3</v>
      </c>
      <c r="Q721" s="274">
        <v>1.2971999999999999E-2</v>
      </c>
      <c r="R721" s="274">
        <v>-2.0104999999999998E-2</v>
      </c>
      <c r="S721" s="274">
        <v>-6.4099999999999999E-3</v>
      </c>
      <c r="T721" s="274">
        <v>-5.2790000000000007E-3</v>
      </c>
      <c r="U721" s="274">
        <v>4.0590000000000001E-3</v>
      </c>
      <c r="V721" s="274">
        <v>-5.0000000000000001E-3</v>
      </c>
      <c r="W721" s="274">
        <v>-8.2799999999999992E-3</v>
      </c>
      <c r="X721" s="274">
        <v>2.3869999999999998E-3</v>
      </c>
      <c r="Y721" s="274">
        <v>1.5767E-2</v>
      </c>
      <c r="Z721" s="274">
        <f ca="1">[1]ExtEntry!$M26</f>
        <v>1.5767E-2</v>
      </c>
      <c r="AB721" s="271">
        <v>17</v>
      </c>
      <c r="AC721" s="271">
        <v>17</v>
      </c>
      <c r="AD721" s="271">
        <v>17</v>
      </c>
      <c r="AE721" s="309">
        <v>13</v>
      </c>
      <c r="AF721" s="309">
        <v>12</v>
      </c>
      <c r="AG721" s="309">
        <v>6</v>
      </c>
      <c r="AH721" s="309">
        <v>15</v>
      </c>
      <c r="AI721" s="309">
        <v>20</v>
      </c>
      <c r="AJ721" s="309">
        <v>20</v>
      </c>
      <c r="AK721" s="309">
        <v>20</v>
      </c>
      <c r="AL721" s="309">
        <v>19</v>
      </c>
      <c r="AM721" s="298">
        <v>17</v>
      </c>
      <c r="AN721" s="298">
        <v>17</v>
      </c>
      <c r="AO721" s="298">
        <v>19</v>
      </c>
      <c r="AP721" s="298">
        <v>17</v>
      </c>
      <c r="AQ721" s="298">
        <v>15</v>
      </c>
      <c r="AR721" s="298">
        <v>18</v>
      </c>
      <c r="AS721" s="298">
        <v>19</v>
      </c>
      <c r="AT721" s="298">
        <v>18</v>
      </c>
      <c r="AU721" s="298">
        <v>10</v>
      </c>
      <c r="AV721" s="298">
        <f t="shared" si="46"/>
        <v>10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2.8029999999999999E-2</v>
      </c>
      <c r="F722" s="274">
        <v>-1.5674E-2</v>
      </c>
      <c r="G722" s="274">
        <v>1.32E-2</v>
      </c>
      <c r="H722" s="274">
        <v>4.751E-3</v>
      </c>
      <c r="I722" s="274">
        <v>-1.6863E-2</v>
      </c>
      <c r="J722" s="274">
        <v>-1.6863E-2</v>
      </c>
      <c r="K722" s="274">
        <v>4.0000000000000001E-3</v>
      </c>
      <c r="L722" s="274">
        <v>-1.8605E-2</v>
      </c>
      <c r="M722" s="274">
        <v>-5.5289999999999992E-3</v>
      </c>
      <c r="N722" s="274">
        <v>-3.1771000000000001E-2</v>
      </c>
      <c r="O722" s="274">
        <v>-7.3829999999999998E-3</v>
      </c>
      <c r="P722" s="274">
        <v>1.0700000000000001E-2</v>
      </c>
      <c r="Q722" s="274">
        <v>-9.300000000000001E-3</v>
      </c>
      <c r="R722" s="274">
        <v>-4.8580000000000003E-3</v>
      </c>
      <c r="S722" s="274">
        <v>-2.5100999999999998E-2</v>
      </c>
      <c r="T722" s="274">
        <v>1.0797000000000001E-2</v>
      </c>
      <c r="U722" s="274">
        <v>1.3969000000000001E-2</v>
      </c>
      <c r="V722" s="274">
        <v>-1.1345000000000001E-2</v>
      </c>
      <c r="W722" s="274">
        <v>-5.738E-3</v>
      </c>
      <c r="X722" s="274">
        <v>-3.2979999999999997E-3</v>
      </c>
      <c r="Y722" s="274">
        <v>2.8029999999999999E-2</v>
      </c>
      <c r="Z722" s="274">
        <f ca="1">[1]ExtEntry!$M27</f>
        <v>2.8029999999999999E-2</v>
      </c>
      <c r="AB722" s="271">
        <v>16</v>
      </c>
      <c r="AC722" s="271">
        <v>16</v>
      </c>
      <c r="AD722" s="271">
        <v>16</v>
      </c>
      <c r="AE722" s="309">
        <v>20</v>
      </c>
      <c r="AF722" s="309">
        <v>19</v>
      </c>
      <c r="AG722" s="309">
        <v>18</v>
      </c>
      <c r="AH722" s="309">
        <v>13</v>
      </c>
      <c r="AI722" s="309">
        <v>16</v>
      </c>
      <c r="AJ722" s="309">
        <v>20</v>
      </c>
      <c r="AK722" s="309">
        <v>20</v>
      </c>
      <c r="AL722" s="309">
        <v>18</v>
      </c>
      <c r="AM722" s="298">
        <v>19</v>
      </c>
      <c r="AN722" s="298">
        <v>19</v>
      </c>
      <c r="AO722" s="298">
        <v>16</v>
      </c>
      <c r="AP722" s="298">
        <v>17</v>
      </c>
      <c r="AQ722" s="298">
        <v>13</v>
      </c>
      <c r="AR722" s="298">
        <v>15</v>
      </c>
      <c r="AS722" s="298">
        <v>18</v>
      </c>
      <c r="AT722" s="298">
        <v>19</v>
      </c>
      <c r="AU722" s="298">
        <v>9</v>
      </c>
      <c r="AV722" s="298">
        <f t="shared" si="46"/>
        <v>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-3.5962999999999995E-2</v>
      </c>
      <c r="G723" s="274">
        <v>2.1888999999999999E-2</v>
      </c>
      <c r="H723" s="274">
        <v>6.7291000000000004E-2</v>
      </c>
      <c r="I723" s="274">
        <v>-1.9189999999999999E-2</v>
      </c>
      <c r="J723" s="274">
        <v>-1.9189999999999999E-2</v>
      </c>
      <c r="K723" s="274">
        <v>-3.5948000000000001E-2</v>
      </c>
      <c r="L723" s="274">
        <v>1.6268999999999999E-2</v>
      </c>
      <c r="M723" s="274">
        <v>-1.0660000000000001E-3</v>
      </c>
      <c r="N723" s="274">
        <v>0.124733</v>
      </c>
      <c r="O723" s="274">
        <v>-3.3207E-2</v>
      </c>
      <c r="P723" s="274">
        <v>-9.9600000000000001E-3</v>
      </c>
      <c r="Q723" s="274">
        <v>-3.9234999999999999E-2</v>
      </c>
      <c r="R723" s="274">
        <v>-6.2629999999999995E-3</v>
      </c>
      <c r="S723" s="274">
        <v>-1.4614E-2</v>
      </c>
      <c r="T723" s="274">
        <v>5.2965999999999999E-2</v>
      </c>
      <c r="U723" s="274">
        <v>7.6841999999999994E-2</v>
      </c>
      <c r="V723" s="274">
        <v>0.101563</v>
      </c>
      <c r="W723" s="274">
        <v>8.9698E-2</v>
      </c>
      <c r="X723" s="274">
        <v>-8.9580000000000007E-3</v>
      </c>
      <c r="Y723" s="274">
        <v>-5.7469999999999995E-3</v>
      </c>
      <c r="Z723" s="274">
        <f ca="1">[1]ExtEntry!$M28</f>
        <v>-5.7469999999999995E-3</v>
      </c>
      <c r="AB723" s="271">
        <v>15</v>
      </c>
      <c r="AC723" s="271">
        <v>6</v>
      </c>
      <c r="AD723" s="271">
        <v>6</v>
      </c>
      <c r="AE723" s="309">
        <v>2</v>
      </c>
      <c r="AF723" s="309">
        <v>2</v>
      </c>
      <c r="AG723" s="309">
        <v>10</v>
      </c>
      <c r="AH723" s="309">
        <v>2</v>
      </c>
      <c r="AI723" s="309">
        <v>2</v>
      </c>
      <c r="AJ723" s="309">
        <v>1</v>
      </c>
      <c r="AK723" s="309">
        <v>2</v>
      </c>
      <c r="AL723" s="309">
        <v>3</v>
      </c>
      <c r="AM723" s="298">
        <v>4</v>
      </c>
      <c r="AN723" s="298">
        <v>4</v>
      </c>
      <c r="AO723" s="298">
        <v>5</v>
      </c>
      <c r="AP723" s="298">
        <v>3</v>
      </c>
      <c r="AQ723" s="298">
        <v>2</v>
      </c>
      <c r="AR723" s="298">
        <v>1</v>
      </c>
      <c r="AS723" s="298">
        <v>1</v>
      </c>
      <c r="AT723" s="298">
        <v>2</v>
      </c>
      <c r="AU723" s="298">
        <v>3</v>
      </c>
      <c r="AV723" s="298">
        <f t="shared" si="46"/>
        <v>3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-7.4045E-2</v>
      </c>
      <c r="D724" s="735">
        <f ca="1">MAX(Tab1ChangePercent[#This Row])</f>
        <v>4.4015000000000006E-2</v>
      </c>
      <c r="F724" s="274">
        <v>-1.0045E-2</v>
      </c>
      <c r="G724" s="274">
        <v>4.2337999999999994E-2</v>
      </c>
      <c r="H724" s="274">
        <v>5.3530000000000006E-4</v>
      </c>
      <c r="I724" s="274">
        <v>-5.5179999999999995E-3</v>
      </c>
      <c r="J724" s="274">
        <v>-5.5179999999999995E-3</v>
      </c>
      <c r="K724" s="274">
        <v>-3.6545999999999995E-2</v>
      </c>
      <c r="L724" s="274">
        <v>-6.5265000000000004E-2</v>
      </c>
      <c r="M724" s="274">
        <v>-2.4458000000000001E-2</v>
      </c>
      <c r="N724" s="274">
        <v>1.4962E-2</v>
      </c>
      <c r="O724" s="274">
        <v>-2.6095999999999998E-2</v>
      </c>
      <c r="P724" s="274">
        <v>-1.5528999999999999E-2</v>
      </c>
      <c r="Q724" s="274">
        <v>-2.5322000000000001E-2</v>
      </c>
      <c r="R724" s="274">
        <v>3.7209999999999999E-3</v>
      </c>
      <c r="S724" s="274">
        <v>-5.7879999999999997E-3</v>
      </c>
      <c r="T724" s="274">
        <v>9.5630000000000003E-3</v>
      </c>
      <c r="U724" s="274">
        <v>-1.2331000000000002E-2</v>
      </c>
      <c r="V724" s="274">
        <v>-1.4499E-2</v>
      </c>
      <c r="W724" s="274">
        <v>-6.5390000000000005E-3</v>
      </c>
      <c r="X724" s="274">
        <v>4.4015000000000006E-2</v>
      </c>
      <c r="Y724" s="274">
        <v>-7.4045E-2</v>
      </c>
      <c r="Z724" s="274">
        <f ca="1">[1]ExtEntry!$M29</f>
        <v>-7.4045E-2</v>
      </c>
      <c r="AB724" s="271">
        <v>19</v>
      </c>
      <c r="AC724" s="271">
        <v>14</v>
      </c>
      <c r="AD724" s="271">
        <v>14</v>
      </c>
      <c r="AE724" s="309">
        <v>13</v>
      </c>
      <c r="AF724" s="309">
        <v>12</v>
      </c>
      <c r="AG724" s="309">
        <v>17</v>
      </c>
      <c r="AH724" s="309">
        <v>20</v>
      </c>
      <c r="AI724" s="309">
        <v>20</v>
      </c>
      <c r="AJ724" s="309">
        <v>19</v>
      </c>
      <c r="AK724" s="309">
        <v>20</v>
      </c>
      <c r="AL724" s="309">
        <v>20</v>
      </c>
      <c r="AM724" s="298">
        <v>20</v>
      </c>
      <c r="AN724" s="298">
        <v>20</v>
      </c>
      <c r="AO724" s="298">
        <v>18</v>
      </c>
      <c r="AP724" s="298">
        <v>16</v>
      </c>
      <c r="AQ724" s="298">
        <v>13</v>
      </c>
      <c r="AR724" s="298">
        <v>14</v>
      </c>
      <c r="AS724" s="298">
        <v>15</v>
      </c>
      <c r="AT724" s="298">
        <v>8</v>
      </c>
      <c r="AU724" s="298">
        <v>19</v>
      </c>
      <c r="AV724" s="298">
        <f t="shared" si="46"/>
        <v>19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1.7743999999999999E-2</v>
      </c>
      <c r="F725" s="274">
        <v>6.5310000000000003E-3</v>
      </c>
      <c r="G725" s="274">
        <v>6.5070000000000004E-4</v>
      </c>
      <c r="H725" s="274">
        <v>-4.0949999999999997E-3</v>
      </c>
      <c r="I725" s="274">
        <v>-1.5800000000000002E-2</v>
      </c>
      <c r="J725" s="274">
        <v>-1.5800000000000002E-2</v>
      </c>
      <c r="K725" s="274">
        <v>-7.9450000000000007E-3</v>
      </c>
      <c r="L725" s="274">
        <v>-5.855E-3</v>
      </c>
      <c r="M725" s="274">
        <v>-4.4019999999999997E-3</v>
      </c>
      <c r="N725" s="274">
        <v>9.3620000000000005E-3</v>
      </c>
      <c r="O725" s="274">
        <v>2.5950000000000001E-3</v>
      </c>
      <c r="P725" s="274">
        <v>-5.7879999999999997E-3</v>
      </c>
      <c r="Q725" s="274">
        <v>-1.1546000000000001E-2</v>
      </c>
      <c r="R725" s="274">
        <v>5.7410000000000002E-4</v>
      </c>
      <c r="S725" s="274">
        <v>4.5530000000000001E-4</v>
      </c>
      <c r="T725" s="274">
        <v>5.1849999999999995E-3</v>
      </c>
      <c r="U725" s="274">
        <v>6.4649999999999994E-3</v>
      </c>
      <c r="V725" s="274">
        <v>4.215E-4</v>
      </c>
      <c r="W725" s="274">
        <v>3.9329999999999999E-3</v>
      </c>
      <c r="X725" s="274">
        <v>1.9989999999999999E-3</v>
      </c>
      <c r="Y725" s="274">
        <v>1.7743999999999999E-2</v>
      </c>
      <c r="Z725" s="274">
        <f ca="1">[1]ExtEntry!$M30</f>
        <v>1.7743999999999999E-2</v>
      </c>
      <c r="AB725" s="271">
        <v>7</v>
      </c>
      <c r="AC725" s="271">
        <v>9</v>
      </c>
      <c r="AD725" s="271">
        <v>9</v>
      </c>
      <c r="AE725" s="309">
        <v>18</v>
      </c>
      <c r="AF725" s="309">
        <v>17</v>
      </c>
      <c r="AG725" s="309">
        <v>20</v>
      </c>
      <c r="AH725" s="309">
        <v>20</v>
      </c>
      <c r="AI725" s="309">
        <v>20</v>
      </c>
      <c r="AJ725" s="309">
        <v>17</v>
      </c>
      <c r="AK725" s="309">
        <v>16</v>
      </c>
      <c r="AL725" s="309">
        <v>17</v>
      </c>
      <c r="AM725" s="298">
        <v>20</v>
      </c>
      <c r="AN725" s="298">
        <v>20</v>
      </c>
      <c r="AO725" s="298">
        <v>17</v>
      </c>
      <c r="AP725" s="298">
        <v>12</v>
      </c>
      <c r="AQ725" s="298">
        <v>20</v>
      </c>
      <c r="AR725" s="298">
        <v>19</v>
      </c>
      <c r="AS725" s="298">
        <v>18</v>
      </c>
      <c r="AT725" s="298">
        <v>16</v>
      </c>
      <c r="AU725" s="298">
        <v>4</v>
      </c>
      <c r="AV725" s="298">
        <f t="shared" si="46"/>
        <v>4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-1.1203000000000001E-2</v>
      </c>
      <c r="G726" s="274">
        <v>4.1530000000000004E-3</v>
      </c>
      <c r="H726" s="274">
        <v>1.2199999999999999E-2</v>
      </c>
      <c r="I726" s="274">
        <v>7.5940000000000001E-3</v>
      </c>
      <c r="J726" s="274">
        <v>7.5940000000000001E-3</v>
      </c>
      <c r="K726" s="274">
        <v>-4.182E-3</v>
      </c>
      <c r="L726" s="274">
        <v>-1.3103E-2</v>
      </c>
      <c r="M726" s="274">
        <v>-6.3730000000000002E-3</v>
      </c>
      <c r="N726" s="274">
        <v>-1.2961E-2</v>
      </c>
      <c r="O726" s="274">
        <v>-6.0489999999999997E-3</v>
      </c>
      <c r="P726" s="274">
        <v>-5.5489999999999999E-4</v>
      </c>
      <c r="Q726" s="274">
        <v>0</v>
      </c>
      <c r="R726" s="274">
        <v>-1.3627E-2</v>
      </c>
      <c r="S726" s="274">
        <v>-1.4039999999999999E-2</v>
      </c>
      <c r="T726" s="274">
        <v>-1.061E-2</v>
      </c>
      <c r="U726" s="274">
        <v>-1.5374000000000001E-2</v>
      </c>
      <c r="V726" s="274">
        <v>4.4429999999999999E-3</v>
      </c>
      <c r="W726" s="274">
        <v>1.3915E-2</v>
      </c>
      <c r="X726" s="274">
        <v>4.5750000000000001E-3</v>
      </c>
      <c r="Y726" s="274">
        <v>4.7670000000000004E-3</v>
      </c>
      <c r="Z726" s="274">
        <f ca="1">[1]ExtEntry!$M31</f>
        <v>4.7670000000000004E-3</v>
      </c>
      <c r="AB726" s="271">
        <v>13</v>
      </c>
      <c r="AC726" s="271">
        <v>8</v>
      </c>
      <c r="AD726" s="271">
        <v>8</v>
      </c>
      <c r="AE726" s="309">
        <v>3</v>
      </c>
      <c r="AF726" s="309">
        <v>3</v>
      </c>
      <c r="AG726" s="309">
        <v>4</v>
      </c>
      <c r="AH726" s="309">
        <v>5</v>
      </c>
      <c r="AI726" s="309">
        <v>6</v>
      </c>
      <c r="AJ726" s="309">
        <v>7</v>
      </c>
      <c r="AK726" s="309">
        <v>8</v>
      </c>
      <c r="AL726" s="309">
        <v>10</v>
      </c>
      <c r="AM726" s="298">
        <v>10</v>
      </c>
      <c r="AN726" s="298">
        <v>10</v>
      </c>
      <c r="AO726" s="298">
        <v>13</v>
      </c>
      <c r="AP726" s="298">
        <v>18</v>
      </c>
      <c r="AQ726" s="298">
        <v>20</v>
      </c>
      <c r="AR726" s="298">
        <v>19</v>
      </c>
      <c r="AS726" s="298">
        <v>17</v>
      </c>
      <c r="AT726" s="298">
        <v>16</v>
      </c>
      <c r="AU726" s="298">
        <v>12</v>
      </c>
      <c r="AV726" s="298">
        <f t="shared" si="46"/>
        <v>12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-4.8859999999999997E-3</v>
      </c>
      <c r="G727" s="274">
        <v>8.9809999999999994E-3</v>
      </c>
      <c r="H727" s="274">
        <v>-2.885E-3</v>
      </c>
      <c r="I727" s="274">
        <v>-2.4420000000000001E-2</v>
      </c>
      <c r="J727" s="274">
        <v>-2.4420000000000001E-2</v>
      </c>
      <c r="K727" s="274">
        <v>2.3746E-2</v>
      </c>
      <c r="L727" s="274">
        <v>4.3099999999999996E-3</v>
      </c>
      <c r="M727" s="274">
        <v>1.9057999999999999E-2</v>
      </c>
      <c r="N727" s="274">
        <v>-4.1419999999999998E-4</v>
      </c>
      <c r="O727" s="274">
        <v>5.0889999999999998E-3</v>
      </c>
      <c r="P727" s="274">
        <v>1.9597E-2</v>
      </c>
      <c r="Q727" s="274">
        <v>2.1774000000000002E-2</v>
      </c>
      <c r="R727" s="274">
        <v>5.6020000000000002E-3</v>
      </c>
      <c r="S727" s="274">
        <v>-5.7999999999999996E-3</v>
      </c>
      <c r="T727" s="274">
        <v>-3.8579999999999999E-3</v>
      </c>
      <c r="U727" s="274">
        <v>-5.2510000000000005E-3</v>
      </c>
      <c r="V727" s="274">
        <v>2.2439999999999999E-3</v>
      </c>
      <c r="W727" s="274">
        <v>3.3588E-2</v>
      </c>
      <c r="X727" s="274">
        <v>1.4854000000000001E-2</v>
      </c>
      <c r="Y727" s="274">
        <v>-4.8339999999999998E-3</v>
      </c>
      <c r="Z727" s="274">
        <f ca="1">[1]ExtEntry!$M32</f>
        <v>-4.8339999999999998E-3</v>
      </c>
      <c r="AB727" s="271">
        <v>2</v>
      </c>
      <c r="AC727" s="271">
        <v>1</v>
      </c>
      <c r="AD727" s="271">
        <v>1</v>
      </c>
      <c r="AE727" s="309">
        <v>6</v>
      </c>
      <c r="AF727" s="309">
        <v>6</v>
      </c>
      <c r="AG727" s="309">
        <v>3</v>
      </c>
      <c r="AH727" s="309">
        <v>1</v>
      </c>
      <c r="AI727" s="309">
        <v>1</v>
      </c>
      <c r="AJ727" s="309">
        <v>2</v>
      </c>
      <c r="AK727" s="309">
        <v>1</v>
      </c>
      <c r="AL727" s="309">
        <v>1</v>
      </c>
      <c r="AM727" s="298">
        <v>1</v>
      </c>
      <c r="AN727" s="298">
        <v>1</v>
      </c>
      <c r="AO727" s="298">
        <v>1</v>
      </c>
      <c r="AP727" s="298">
        <v>4</v>
      </c>
      <c r="AQ727" s="298">
        <v>3</v>
      </c>
      <c r="AR727" s="298">
        <v>3</v>
      </c>
      <c r="AS727" s="298">
        <v>1</v>
      </c>
      <c r="AT727" s="298">
        <v>1</v>
      </c>
      <c r="AU727" s="298">
        <v>2</v>
      </c>
      <c r="AV727" s="298">
        <f t="shared" si="46"/>
        <v>2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-3.4119000000000003E-2</v>
      </c>
      <c r="D728" s="735">
        <f ca="1">MAX(Tab1ChangePercent[#This Row])</f>
        <v>2.7639E-2</v>
      </c>
      <c r="F728" s="274">
        <v>2.7639E-2</v>
      </c>
      <c r="G728" s="274">
        <v>6.8179999999999994E-3</v>
      </c>
      <c r="H728" s="274">
        <v>3.4710000000000001E-3</v>
      </c>
      <c r="I728" s="274">
        <v>-2.6078E-2</v>
      </c>
      <c r="J728" s="274">
        <v>-2.6078E-2</v>
      </c>
      <c r="K728" s="274">
        <v>-2.3890000000000001E-4</v>
      </c>
      <c r="L728" s="274">
        <v>1.1140000000000001E-2</v>
      </c>
      <c r="M728" s="274">
        <v>6.5839999999999996E-3</v>
      </c>
      <c r="N728" s="274">
        <v>-2.1120000000000002E-3</v>
      </c>
      <c r="O728" s="274">
        <v>2.0799999999999998E-3</v>
      </c>
      <c r="P728" s="274">
        <v>-1.8839999999999999E-2</v>
      </c>
      <c r="Q728" s="274">
        <v>-4.7610000000000005E-3</v>
      </c>
      <c r="R728" s="274">
        <v>-2.183E-3</v>
      </c>
      <c r="S728" s="274">
        <v>9.9410000000000002E-3</v>
      </c>
      <c r="T728" s="274">
        <v>2.5526E-2</v>
      </c>
      <c r="U728" s="274">
        <v>7.5569999999999999E-4</v>
      </c>
      <c r="V728" s="274">
        <v>1.4854000000000001E-2</v>
      </c>
      <c r="W728" s="274">
        <v>-1.2302E-2</v>
      </c>
      <c r="X728" s="274">
        <v>-3.4119000000000003E-2</v>
      </c>
      <c r="Y728" s="274">
        <v>-1.2514000000000001E-2</v>
      </c>
      <c r="Z728" s="274">
        <f ca="1">[1]ExtEntry!$M33</f>
        <v>-1.2514000000000001E-2</v>
      </c>
      <c r="AB728" s="271">
        <v>8</v>
      </c>
      <c r="AC728" s="271">
        <v>3</v>
      </c>
      <c r="AD728" s="271">
        <v>3</v>
      </c>
      <c r="AE728" s="309">
        <v>8</v>
      </c>
      <c r="AF728" s="309">
        <v>8</v>
      </c>
      <c r="AG728" s="309">
        <v>7</v>
      </c>
      <c r="AH728" s="309">
        <v>6</v>
      </c>
      <c r="AI728" s="309">
        <v>4</v>
      </c>
      <c r="AJ728" s="309">
        <v>6</v>
      </c>
      <c r="AK728" s="309">
        <v>5</v>
      </c>
      <c r="AL728" s="309">
        <v>13</v>
      </c>
      <c r="AM728" s="298">
        <v>14</v>
      </c>
      <c r="AN728" s="298">
        <v>14</v>
      </c>
      <c r="AO728" s="298">
        <v>13</v>
      </c>
      <c r="AP728" s="298">
        <v>1</v>
      </c>
      <c r="AQ728" s="298">
        <v>2</v>
      </c>
      <c r="AR728" s="298">
        <v>1</v>
      </c>
      <c r="AS728" s="298">
        <v>3</v>
      </c>
      <c r="AT728" s="298">
        <v>19</v>
      </c>
      <c r="AU728" s="298">
        <v>20</v>
      </c>
      <c r="AV728" s="298">
        <f t="shared" si="46"/>
        <v>20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-3.2690999999999998E-2</v>
      </c>
      <c r="G729" s="274">
        <v>7.6180000000000006E-3</v>
      </c>
      <c r="H729" s="274">
        <v>1.5325999999999999E-2</v>
      </c>
      <c r="I729" s="274">
        <v>-1.5075E-2</v>
      </c>
      <c r="J729" s="274">
        <v>-1.5075E-2</v>
      </c>
      <c r="K729" s="274">
        <v>-4.4890999999999993E-2</v>
      </c>
      <c r="L729" s="274">
        <v>-0.156718</v>
      </c>
      <c r="M729" s="274">
        <v>-2.9791999999999999E-2</v>
      </c>
      <c r="N729" s="274">
        <v>2.9517000000000002E-2</v>
      </c>
      <c r="O729" s="274">
        <v>-2.784E-3</v>
      </c>
      <c r="P729" s="274">
        <v>9.0259999999999993E-3</v>
      </c>
      <c r="Q729" s="274">
        <v>-8.3863000000000007E-2</v>
      </c>
      <c r="R729" s="274">
        <v>4.9309999999999996E-3</v>
      </c>
      <c r="S729" s="274">
        <v>-9.0730000000000005E-2</v>
      </c>
      <c r="T729" s="274">
        <v>-0.13449</v>
      </c>
      <c r="U729" s="274">
        <v>8.8020000000000001E-2</v>
      </c>
      <c r="V729" s="274">
        <v>6.2920999999999991E-2</v>
      </c>
      <c r="W729" s="274">
        <v>8.0337999999999993E-2</v>
      </c>
      <c r="X729" s="274">
        <v>3.9369999999999995E-3</v>
      </c>
      <c r="Y729" s="274">
        <v>-0.102941</v>
      </c>
      <c r="Z729" s="274">
        <f ca="1">[1]ExtEntry!$M34</f>
        <v>-0.102941</v>
      </c>
      <c r="AB729" s="271">
        <v>20</v>
      </c>
      <c r="AC729" s="271">
        <v>19</v>
      </c>
      <c r="AD729" s="271">
        <v>19</v>
      </c>
      <c r="AE729" s="309">
        <v>20</v>
      </c>
      <c r="AF729" s="309">
        <v>19</v>
      </c>
      <c r="AG729" s="309">
        <v>20</v>
      </c>
      <c r="AH729" s="309">
        <v>20</v>
      </c>
      <c r="AI729" s="309">
        <v>20</v>
      </c>
      <c r="AJ729" s="309">
        <v>19</v>
      </c>
      <c r="AK729" s="309">
        <v>19</v>
      </c>
      <c r="AL729" s="309">
        <v>19</v>
      </c>
      <c r="AM729" s="298">
        <v>1</v>
      </c>
      <c r="AN729" s="298">
        <v>1</v>
      </c>
      <c r="AO729" s="298">
        <v>1</v>
      </c>
      <c r="AP729" s="298">
        <v>4</v>
      </c>
      <c r="AQ729" s="298">
        <v>4</v>
      </c>
      <c r="AR729" s="298">
        <v>2</v>
      </c>
      <c r="AS729" s="298">
        <v>1</v>
      </c>
      <c r="AT729" s="298">
        <v>2</v>
      </c>
      <c r="AU729" s="298">
        <v>7</v>
      </c>
      <c r="AV729" s="298">
        <f t="shared" si="46"/>
        <v>7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-1.1282E-2</v>
      </c>
      <c r="G730" s="274">
        <v>7.9590000000000008E-3</v>
      </c>
      <c r="H730" s="274">
        <v>-3.637E-3</v>
      </c>
      <c r="I730" s="274">
        <v>-3.3291000000000001E-2</v>
      </c>
      <c r="J730" s="274">
        <v>-3.3291000000000001E-2</v>
      </c>
      <c r="K730" s="274">
        <v>1.8929999999999999E-2</v>
      </c>
      <c r="L730" s="274">
        <v>-4.2890000000000003E-3</v>
      </c>
      <c r="M730" s="274">
        <v>1.8456E-2</v>
      </c>
      <c r="N730" s="274">
        <v>-3.3219999999999999E-3</v>
      </c>
      <c r="O730" s="274">
        <v>-1.3485E-2</v>
      </c>
      <c r="P730" s="274">
        <v>3.0064E-2</v>
      </c>
      <c r="Q730" s="274">
        <v>1.8130999999999998E-2</v>
      </c>
      <c r="R730" s="274">
        <v>5.7289999999999997E-3</v>
      </c>
      <c r="S730" s="274">
        <v>-7.5799999999999999E-3</v>
      </c>
      <c r="T730" s="274">
        <v>-1.3514E-2</v>
      </c>
      <c r="U730" s="274">
        <v>3.3814999999999998E-2</v>
      </c>
      <c r="V730" s="274">
        <v>-8.9510000000000006E-3</v>
      </c>
      <c r="W730" s="274">
        <v>2.4293999999999996E-2</v>
      </c>
      <c r="X730" s="274">
        <v>1.6313000000000001E-2</v>
      </c>
      <c r="Y730" s="274">
        <v>-3.5310000000000003E-3</v>
      </c>
      <c r="Z730" s="274">
        <f ca="1">[1]ExtEntry!$M35</f>
        <v>-3.5310000000000003E-3</v>
      </c>
      <c r="AB730" s="271">
        <v>2</v>
      </c>
      <c r="AC730" s="271">
        <v>2</v>
      </c>
      <c r="AD730" s="271">
        <v>2</v>
      </c>
      <c r="AE730" s="309">
        <v>6</v>
      </c>
      <c r="AF730" s="309">
        <v>6</v>
      </c>
      <c r="AG730" s="309">
        <v>6</v>
      </c>
      <c r="AH730" s="309">
        <v>1</v>
      </c>
      <c r="AI730" s="309">
        <v>1</v>
      </c>
      <c r="AJ730" s="309">
        <v>2</v>
      </c>
      <c r="AK730" s="309">
        <v>3</v>
      </c>
      <c r="AL730" s="309">
        <v>1</v>
      </c>
      <c r="AM730" s="298">
        <v>1</v>
      </c>
      <c r="AN730" s="298">
        <v>1</v>
      </c>
      <c r="AO730" s="298">
        <v>2</v>
      </c>
      <c r="AP730" s="298">
        <v>5</v>
      </c>
      <c r="AQ730" s="298">
        <v>1</v>
      </c>
      <c r="AR730" s="298">
        <v>2</v>
      </c>
      <c r="AS730" s="298">
        <v>1</v>
      </c>
      <c r="AT730" s="298">
        <v>1</v>
      </c>
      <c r="AU730" s="298">
        <v>2</v>
      </c>
      <c r="AV730" s="298">
        <f t="shared" ref="AV730:AV761" si="49">_xlfn.RANK.EQ(Y235,F235:Y235)</f>
        <v>2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5.5049999999999995E-3</v>
      </c>
      <c r="G731" s="274">
        <v>-0.158827</v>
      </c>
      <c r="H731" s="274">
        <v>5.4141000000000002E-2</v>
      </c>
      <c r="I731" s="274">
        <v>-3.5789000000000001E-2</v>
      </c>
      <c r="J731" s="274">
        <v>-3.5789000000000001E-2</v>
      </c>
      <c r="K731" s="274">
        <v>1.3100000000000001E-2</v>
      </c>
      <c r="L731" s="274">
        <v>-1.4767999999999998E-2</v>
      </c>
      <c r="M731" s="274">
        <v>-3.6402999999999998E-2</v>
      </c>
      <c r="N731" s="274">
        <v>3.3300000000000001E-3</v>
      </c>
      <c r="O731" s="274">
        <v>2.212E-3</v>
      </c>
      <c r="P731" s="274">
        <v>-1.3245E-2</v>
      </c>
      <c r="Q731" s="274">
        <v>-3.5869999999999999E-4</v>
      </c>
      <c r="R731" s="274">
        <v>-4.444E-3</v>
      </c>
      <c r="S731" s="274">
        <v>-3.1111E-2</v>
      </c>
      <c r="T731" s="274">
        <v>1.3761000000000001E-2</v>
      </c>
      <c r="U731" s="274">
        <v>-2.4269999999999999E-3</v>
      </c>
      <c r="V731" s="274">
        <v>-7.2989999999999999E-3</v>
      </c>
      <c r="W731" s="274">
        <v>-5.1471000000000003E-2</v>
      </c>
      <c r="X731" s="274">
        <v>2.8424000000000001E-2</v>
      </c>
      <c r="Y731" s="274">
        <v>2.0202000000000001E-2</v>
      </c>
      <c r="Z731" s="274">
        <f ca="1">[1]ExtEntry!$M36</f>
        <v>2.0202000000000001E-2</v>
      </c>
      <c r="AB731" s="271">
        <v>13</v>
      </c>
      <c r="AC731" s="271">
        <v>20</v>
      </c>
      <c r="AD731" s="271">
        <v>20</v>
      </c>
      <c r="AE731" s="309">
        <v>19</v>
      </c>
      <c r="AF731" s="309">
        <v>18</v>
      </c>
      <c r="AG731" s="309">
        <v>17</v>
      </c>
      <c r="AH731" s="309">
        <v>15</v>
      </c>
      <c r="AI731" s="309">
        <v>19</v>
      </c>
      <c r="AJ731" s="309">
        <v>18</v>
      </c>
      <c r="AK731" s="309">
        <v>17</v>
      </c>
      <c r="AL731" s="309">
        <v>20</v>
      </c>
      <c r="AM731" s="298">
        <v>20</v>
      </c>
      <c r="AN731" s="298">
        <v>20</v>
      </c>
      <c r="AO731" s="298">
        <v>18</v>
      </c>
      <c r="AP731" s="298">
        <v>19</v>
      </c>
      <c r="AQ731" s="298">
        <v>20</v>
      </c>
      <c r="AR731" s="298">
        <v>20</v>
      </c>
      <c r="AS731" s="298">
        <v>20</v>
      </c>
      <c r="AT731" s="298">
        <v>19</v>
      </c>
      <c r="AU731" s="298">
        <v>18</v>
      </c>
      <c r="AV731" s="298">
        <f t="shared" si="49"/>
        <v>18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-4.7892999999999998E-2</v>
      </c>
      <c r="G732" s="274">
        <v>-4.9120000000000006E-3</v>
      </c>
      <c r="H732" s="274">
        <v>-2.8769999999999997E-2</v>
      </c>
      <c r="I732" s="274">
        <v>-3.1600999999999997E-2</v>
      </c>
      <c r="J732" s="274">
        <v>-3.1600999999999997E-2</v>
      </c>
      <c r="K732" s="274">
        <v>8.1630000000000001E-3</v>
      </c>
      <c r="L732" s="274">
        <v>1.8729999999999999E-3</v>
      </c>
      <c r="M732" s="274">
        <v>1.3084E-2</v>
      </c>
      <c r="N732" s="274">
        <v>-7.3800000000000003E-3</v>
      </c>
      <c r="O732" s="274">
        <v>2.0093E-2</v>
      </c>
      <c r="P732" s="274">
        <v>-5.1326999999999998E-2</v>
      </c>
      <c r="Q732" s="274">
        <v>-4.6642000000000003E-2</v>
      </c>
      <c r="R732" s="274">
        <v>-1.6961999999999998E-2</v>
      </c>
      <c r="S732" s="274">
        <v>-3.3961999999999999E-2</v>
      </c>
      <c r="T732" s="274">
        <v>2.6366999999999998E-2</v>
      </c>
      <c r="U732" s="274">
        <v>1.3258000000000001E-2</v>
      </c>
      <c r="V732" s="274">
        <v>-3.738E-3</v>
      </c>
      <c r="W732" s="274">
        <v>5.0656999999999994E-2</v>
      </c>
      <c r="X732" s="274">
        <v>-4.5536E-2</v>
      </c>
      <c r="Y732" s="274">
        <v>-1.6886000000000002E-2</v>
      </c>
      <c r="Z732" s="274">
        <f ca="1">[1]ExtEntry!$M37</f>
        <v>-1.6886000000000002E-2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18</v>
      </c>
      <c r="AG732" s="309">
        <v>17</v>
      </c>
      <c r="AH732" s="309">
        <v>12</v>
      </c>
      <c r="AI732" s="309">
        <v>9</v>
      </c>
      <c r="AJ732" s="309">
        <v>10</v>
      </c>
      <c r="AK732" s="309">
        <v>7</v>
      </c>
      <c r="AL732" s="309">
        <v>11</v>
      </c>
      <c r="AM732" s="298">
        <v>13</v>
      </c>
      <c r="AN732" s="298">
        <v>13</v>
      </c>
      <c r="AO732" s="298">
        <v>11</v>
      </c>
      <c r="AP732" s="298">
        <v>9</v>
      </c>
      <c r="AQ732" s="298">
        <v>7</v>
      </c>
      <c r="AR732" s="298">
        <v>8</v>
      </c>
      <c r="AS732" s="298">
        <v>1</v>
      </c>
      <c r="AT732" s="298">
        <v>8</v>
      </c>
      <c r="AU732" s="298">
        <v>11</v>
      </c>
      <c r="AV732" s="298">
        <f t="shared" si="49"/>
        <v>11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4.4585999999999994E-2</v>
      </c>
      <c r="G733" s="274">
        <v>-4.5454999999999995E-2</v>
      </c>
      <c r="H733" s="274">
        <v>4.0917000000000002E-2</v>
      </c>
      <c r="I733" s="274">
        <v>7.5310000000000009E-5</v>
      </c>
      <c r="J733" s="274">
        <v>7.5310000000000009E-5</v>
      </c>
      <c r="K733" s="274">
        <v>9.7518999999999995E-2</v>
      </c>
      <c r="L733" s="274">
        <v>-3.9671999999999999E-2</v>
      </c>
      <c r="M733" s="274">
        <v>6.8969999999999995E-3</v>
      </c>
      <c r="N733" s="274">
        <v>0.116438</v>
      </c>
      <c r="O733" s="274">
        <v>5.8282E-2</v>
      </c>
      <c r="P733" s="274">
        <v>-2.1277000000000001E-2</v>
      </c>
      <c r="Q733" s="274">
        <v>-6.9565000000000002E-2</v>
      </c>
      <c r="R733" s="274">
        <v>-9.0480999999999992E-2</v>
      </c>
      <c r="S733" s="274">
        <v>-8.3268999999999996E-2</v>
      </c>
      <c r="T733" s="274">
        <v>-9.5657999999999993E-2</v>
      </c>
      <c r="U733" s="274">
        <v>-0.02</v>
      </c>
      <c r="V733" s="274">
        <v>1.0200000000000001E-4</v>
      </c>
      <c r="W733" s="274">
        <v>3.1143000000000001E-2</v>
      </c>
      <c r="X733" s="274">
        <v>4.0404000000000002E-2</v>
      </c>
      <c r="Y733" s="274">
        <v>9.8040000000000002E-3</v>
      </c>
      <c r="Z733" s="274">
        <f ca="1">[1]ExtEntry!$M38</f>
        <v>9.8040000000000002E-3</v>
      </c>
      <c r="AB733" s="271">
        <v>1</v>
      </c>
      <c r="AC733" s="271">
        <v>3</v>
      </c>
      <c r="AD733" s="271">
        <v>3</v>
      </c>
      <c r="AE733" s="309">
        <v>5</v>
      </c>
      <c r="AF733" s="309">
        <v>5</v>
      </c>
      <c r="AG733" s="309">
        <v>5</v>
      </c>
      <c r="AH733" s="309">
        <v>6</v>
      </c>
      <c r="AI733" s="309">
        <v>5</v>
      </c>
      <c r="AJ733" s="309">
        <v>3</v>
      </c>
      <c r="AK733" s="309">
        <v>1</v>
      </c>
      <c r="AL733" s="309">
        <v>19</v>
      </c>
      <c r="AM733" s="298">
        <v>20</v>
      </c>
      <c r="AN733" s="298">
        <v>20</v>
      </c>
      <c r="AO733" s="298">
        <v>20</v>
      </c>
      <c r="AP733" s="298">
        <v>20</v>
      </c>
      <c r="AQ733" s="298">
        <v>17</v>
      </c>
      <c r="AR733" s="298">
        <v>16</v>
      </c>
      <c r="AS733" s="298">
        <v>15</v>
      </c>
      <c r="AT733" s="298">
        <v>14</v>
      </c>
      <c r="AU733" s="298">
        <v>13</v>
      </c>
      <c r="AV733" s="298">
        <f t="shared" si="49"/>
        <v>13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6.2146999999999994E-2</v>
      </c>
      <c r="F734" s="274">
        <v>2.9523999999999998E-2</v>
      </c>
      <c r="G734" s="274">
        <v>1.3724E-2</v>
      </c>
      <c r="H734" s="274">
        <v>2.9360000000000001E-2</v>
      </c>
      <c r="I734" s="274">
        <v>-1.7718999999999999E-2</v>
      </c>
      <c r="J734" s="274">
        <v>-1.7718999999999999E-2</v>
      </c>
      <c r="K734" s="274">
        <v>6.2146999999999994E-2</v>
      </c>
      <c r="L734" s="274">
        <v>-1.8312999999999999E-2</v>
      </c>
      <c r="M734" s="274">
        <v>2.1600000000000001E-2</v>
      </c>
      <c r="N734" s="274">
        <v>-4.5411E-2</v>
      </c>
      <c r="O734" s="274">
        <v>1.1578E-2</v>
      </c>
      <c r="P734" s="274">
        <v>-1.1701999999999999E-2</v>
      </c>
      <c r="Q734" s="274">
        <v>1.5499999999999999E-3</v>
      </c>
      <c r="R734" s="274">
        <v>2.2360999999999999E-2</v>
      </c>
      <c r="S734" s="274">
        <v>2.9901E-2</v>
      </c>
      <c r="T734" s="274">
        <v>1.3127999999999999E-2</v>
      </c>
      <c r="U734" s="274">
        <v>-1.1369000000000001E-2</v>
      </c>
      <c r="V734" s="274">
        <v>-0.12087099999999999</v>
      </c>
      <c r="W734" s="274">
        <v>1.5307999999999999E-2</v>
      </c>
      <c r="X734" s="274">
        <v>3.6282999999999996E-2</v>
      </c>
      <c r="Y734" s="274">
        <v>3.7019999999999996E-3</v>
      </c>
      <c r="Z734" s="274">
        <f ca="1">[1]ExtEntry!$M39</f>
        <v>3.7019999999999996E-3</v>
      </c>
      <c r="AB734" s="271">
        <v>1</v>
      </c>
      <c r="AC734" s="271">
        <v>1</v>
      </c>
      <c r="AD734" s="271">
        <v>1</v>
      </c>
      <c r="AE734" s="309">
        <v>2</v>
      </c>
      <c r="AF734" s="309">
        <v>2</v>
      </c>
      <c r="AG734" s="309">
        <v>1</v>
      </c>
      <c r="AH734" s="309">
        <v>2</v>
      </c>
      <c r="AI734" s="309">
        <v>1</v>
      </c>
      <c r="AJ734" s="309">
        <v>5</v>
      </c>
      <c r="AK734" s="309">
        <v>5</v>
      </c>
      <c r="AL734" s="309">
        <v>9</v>
      </c>
      <c r="AM734" s="298">
        <v>9</v>
      </c>
      <c r="AN734" s="298">
        <v>9</v>
      </c>
      <c r="AO734" s="298">
        <v>9</v>
      </c>
      <c r="AP734" s="298">
        <v>6</v>
      </c>
      <c r="AQ734" s="298">
        <v>3</v>
      </c>
      <c r="AR734" s="298">
        <v>18</v>
      </c>
      <c r="AS734" s="298">
        <v>18</v>
      </c>
      <c r="AT734" s="298">
        <v>16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-2.5092E-2</v>
      </c>
      <c r="G735" s="274">
        <v>1.3302000000000001E-2</v>
      </c>
      <c r="H735" s="274">
        <v>1.0623E-2</v>
      </c>
      <c r="I735" s="274">
        <v>1.9889999999999999E-3</v>
      </c>
      <c r="J735" s="274">
        <v>1.9889999999999999E-3</v>
      </c>
      <c r="K735" s="274">
        <v>3.1199999999999999E-3</v>
      </c>
      <c r="L735" s="274">
        <v>-1.0358000000000001E-2</v>
      </c>
      <c r="M735" s="274">
        <v>-9.9010000000000001E-3</v>
      </c>
      <c r="N735" s="274">
        <v>-2.2859999999999998E-3</v>
      </c>
      <c r="O735" s="274">
        <v>-8.8770000000000012E-3</v>
      </c>
      <c r="P735" s="274">
        <v>9.3460000000000001E-3</v>
      </c>
      <c r="Q735" s="274">
        <v>-1.3977999999999999E-2</v>
      </c>
      <c r="R735" s="274">
        <v>-2.3580000000000003E-3</v>
      </c>
      <c r="S735" s="274">
        <v>2.3248999999999999E-2</v>
      </c>
      <c r="T735" s="274">
        <v>7.2130000000000007E-3</v>
      </c>
      <c r="U735" s="274">
        <v>2.2844000000000003E-2</v>
      </c>
      <c r="V735" s="274">
        <v>-3.0709999999999999E-3</v>
      </c>
      <c r="W735" s="274">
        <v>4.2009999999999999E-3</v>
      </c>
      <c r="X735" s="274">
        <v>-3.0669999999999998E-3</v>
      </c>
      <c r="Y735" s="274">
        <v>5.0349999999999995E-3</v>
      </c>
      <c r="Z735" s="274">
        <f ca="1">[1]ExtEntry!$M40</f>
        <v>5.0349999999999995E-3</v>
      </c>
      <c r="AB735" s="271">
        <v>20</v>
      </c>
      <c r="AC735" s="271">
        <v>19</v>
      </c>
      <c r="AD735" s="271">
        <v>19</v>
      </c>
      <c r="AE735" s="309">
        <v>17</v>
      </c>
      <c r="AF735" s="309">
        <v>16</v>
      </c>
      <c r="AG735" s="309">
        <v>15</v>
      </c>
      <c r="AH735" s="309">
        <v>15</v>
      </c>
      <c r="AI735" s="309">
        <v>19</v>
      </c>
      <c r="AJ735" s="309">
        <v>19</v>
      </c>
      <c r="AK735" s="309">
        <v>19</v>
      </c>
      <c r="AL735" s="309">
        <v>20</v>
      </c>
      <c r="AM735" s="298">
        <v>20</v>
      </c>
      <c r="AN735" s="298">
        <v>20</v>
      </c>
      <c r="AO735" s="298">
        <v>20</v>
      </c>
      <c r="AP735" s="298">
        <v>14</v>
      </c>
      <c r="AQ735" s="298">
        <v>3</v>
      </c>
      <c r="AR735" s="298">
        <v>3</v>
      </c>
      <c r="AS735" s="298">
        <v>1</v>
      </c>
      <c r="AT735" s="298">
        <v>3</v>
      </c>
      <c r="AU735" s="298">
        <v>1</v>
      </c>
      <c r="AV735" s="298">
        <f t="shared" si="49"/>
        <v>1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1.9625E-2</v>
      </c>
      <c r="F736" s="274">
        <v>2.7200000000000002E-3</v>
      </c>
      <c r="G736" s="274">
        <v>-3.9639999999999996E-3</v>
      </c>
      <c r="H736" s="274">
        <v>-2.3210000000000001E-3</v>
      </c>
      <c r="I736" s="274">
        <v>1.0560000000000001E-3</v>
      </c>
      <c r="J736" s="274">
        <v>1.0560000000000001E-3</v>
      </c>
      <c r="K736" s="274">
        <v>-1.3297000000000002E-2</v>
      </c>
      <c r="L736" s="274">
        <v>1.72E-3</v>
      </c>
      <c r="M736" s="274">
        <v>-4.9359999999999994E-3</v>
      </c>
      <c r="N736" s="274">
        <v>1.9625E-2</v>
      </c>
      <c r="O736" s="274">
        <v>-2.1149999999999999E-4</v>
      </c>
      <c r="P736" s="274">
        <v>7.5529999999999998E-3</v>
      </c>
      <c r="Q736" s="274">
        <v>-2.6080000000000002E-2</v>
      </c>
      <c r="R736" s="274">
        <v>1.4081E-2</v>
      </c>
      <c r="S736" s="274">
        <v>1.3183E-2</v>
      </c>
      <c r="T736" s="274">
        <v>-4.7169999999999998E-3</v>
      </c>
      <c r="U736" s="274">
        <v>9.639E-3</v>
      </c>
      <c r="V736" s="274">
        <v>-6.5089999999999994E-4</v>
      </c>
      <c r="W736" s="274">
        <v>-2.8658000000000003E-2</v>
      </c>
      <c r="X736" s="274">
        <v>-1.7434000000000002E-2</v>
      </c>
      <c r="Y736" s="274">
        <v>5.004999999999999E-3</v>
      </c>
      <c r="Z736" s="274">
        <f ca="1">[1]ExtEntry!$M41</f>
        <v>5.004999999999999E-3</v>
      </c>
      <c r="AB736" s="271">
        <v>19</v>
      </c>
      <c r="AC736" s="271">
        <v>19</v>
      </c>
      <c r="AD736" s="271">
        <v>19</v>
      </c>
      <c r="AE736" s="309">
        <v>18</v>
      </c>
      <c r="AF736" s="309">
        <v>17</v>
      </c>
      <c r="AG736" s="309">
        <v>19</v>
      </c>
      <c r="AH736" s="309">
        <v>19</v>
      </c>
      <c r="AI736" s="309">
        <v>20</v>
      </c>
      <c r="AJ736" s="309">
        <v>16</v>
      </c>
      <c r="AK736" s="309">
        <v>16</v>
      </c>
      <c r="AL736" s="309">
        <v>17</v>
      </c>
      <c r="AM736" s="298">
        <v>20</v>
      </c>
      <c r="AN736" s="298">
        <v>20</v>
      </c>
      <c r="AO736" s="298">
        <v>19</v>
      </c>
      <c r="AP736" s="298">
        <v>16</v>
      </c>
      <c r="AQ736" s="298">
        <v>18</v>
      </c>
      <c r="AR736" s="298">
        <v>19</v>
      </c>
      <c r="AS736" s="298">
        <v>20</v>
      </c>
      <c r="AT736" s="298">
        <v>20</v>
      </c>
      <c r="AU736" s="298">
        <v>19</v>
      </c>
      <c r="AV736" s="298">
        <f t="shared" si="49"/>
        <v>19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6.2250000000000005E-3</v>
      </c>
      <c r="G737" s="274">
        <v>1.7509999999999998E-2</v>
      </c>
      <c r="H737" s="274">
        <v>-1.276E-3</v>
      </c>
      <c r="I737" s="274">
        <v>-2.5580000000000004E-3</v>
      </c>
      <c r="J737" s="274">
        <v>-2.5580000000000004E-3</v>
      </c>
      <c r="K737" s="274">
        <v>6.4060000000000007E-4</v>
      </c>
      <c r="L737" s="274">
        <v>4.516E-3</v>
      </c>
      <c r="M737" s="274">
        <v>8.3490000000000005E-3</v>
      </c>
      <c r="N737" s="274">
        <v>-1.0827999999999999E-2</v>
      </c>
      <c r="O737" s="274">
        <v>7.0830000000000008E-3</v>
      </c>
      <c r="P737" s="274">
        <v>-2.5558999999999998E-2</v>
      </c>
      <c r="Q737" s="274">
        <v>-1.2459E-2</v>
      </c>
      <c r="R737" s="274">
        <v>-5.8170000000000001E-3</v>
      </c>
      <c r="S737" s="274">
        <v>1.3220000000000001E-4</v>
      </c>
      <c r="T737" s="274">
        <v>-1.4541E-2</v>
      </c>
      <c r="U737" s="274">
        <v>1.8880999999999998E-2</v>
      </c>
      <c r="V737" s="274">
        <v>-1.3236000000000001E-2</v>
      </c>
      <c r="W737" s="274">
        <v>-6.7070000000000009E-4</v>
      </c>
      <c r="X737" s="274">
        <v>1.1073999999999999E-2</v>
      </c>
      <c r="Y737" s="274">
        <v>-1.3934999999999999E-2</v>
      </c>
      <c r="Z737" s="274">
        <f ca="1">[1]ExtEntry!$M42</f>
        <v>-1.3934999999999999E-2</v>
      </c>
      <c r="AB737" s="271">
        <v>12</v>
      </c>
      <c r="AC737" s="271">
        <v>8</v>
      </c>
      <c r="AD737" s="271">
        <v>8</v>
      </c>
      <c r="AE737" s="309">
        <v>9</v>
      </c>
      <c r="AF737" s="309">
        <v>8</v>
      </c>
      <c r="AG737" s="309">
        <v>7</v>
      </c>
      <c r="AH737" s="309">
        <v>9</v>
      </c>
      <c r="AI737" s="309">
        <v>3</v>
      </c>
      <c r="AJ737" s="309">
        <v>9</v>
      </c>
      <c r="AK737" s="309">
        <v>4</v>
      </c>
      <c r="AL737" s="309">
        <v>12</v>
      </c>
      <c r="AM737" s="298">
        <v>14</v>
      </c>
      <c r="AN737" s="298">
        <v>14</v>
      </c>
      <c r="AO737" s="298">
        <v>15</v>
      </c>
      <c r="AP737" s="298">
        <v>17</v>
      </c>
      <c r="AQ737" s="298">
        <v>15</v>
      </c>
      <c r="AR737" s="298">
        <v>18</v>
      </c>
      <c r="AS737" s="298">
        <v>20</v>
      </c>
      <c r="AT737" s="298">
        <v>15</v>
      </c>
      <c r="AU737" s="298">
        <v>20</v>
      </c>
      <c r="AV737" s="298">
        <f t="shared" si="49"/>
        <v>20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-8.5914000000000004E-2</v>
      </c>
      <c r="D738" s="735">
        <f ca="1">MAX(Tab1ChangePercent[#This Row])</f>
        <v>0.13841200000000001</v>
      </c>
      <c r="F738" s="274">
        <v>-8.5914000000000004E-2</v>
      </c>
      <c r="G738" s="274">
        <v>9.7289999999999998E-3</v>
      </c>
      <c r="H738" s="274">
        <v>-1.2766E-2</v>
      </c>
      <c r="I738" s="274">
        <v>0.13841200000000001</v>
      </c>
      <c r="J738" s="274">
        <v>0.13841200000000001</v>
      </c>
      <c r="K738" s="274">
        <v>-2.7333E-2</v>
      </c>
      <c r="L738" s="274">
        <v>-1.444E-2</v>
      </c>
      <c r="M738" s="274">
        <v>-1.5568E-2</v>
      </c>
      <c r="N738" s="274">
        <v>2.6977000000000001E-2</v>
      </c>
      <c r="O738" s="274">
        <v>9.9639999999999989E-3</v>
      </c>
      <c r="P738" s="274">
        <v>-5.1646999999999998E-2</v>
      </c>
      <c r="Q738" s="274">
        <v>-3.662E-2</v>
      </c>
      <c r="R738" s="274">
        <v>-7.7149999999999996E-3</v>
      </c>
      <c r="S738" s="274">
        <v>-2.2179000000000001E-2</v>
      </c>
      <c r="T738" s="274">
        <v>3.9450000000000006E-3</v>
      </c>
      <c r="U738" s="274">
        <v>5.8589999999999996E-3</v>
      </c>
      <c r="V738" s="274">
        <v>-1.7476000000000002E-2</v>
      </c>
      <c r="W738" s="274">
        <v>-3.1621000000000003E-2</v>
      </c>
      <c r="X738" s="274">
        <v>6.633E-3</v>
      </c>
      <c r="Y738" s="274">
        <v>-4.0610000000000004E-3</v>
      </c>
      <c r="Z738" s="274">
        <f ca="1">[1]ExtEntry!$M43</f>
        <v>-4.0610000000000004E-3</v>
      </c>
      <c r="AB738" s="271">
        <v>20</v>
      </c>
      <c r="AC738" s="271">
        <v>19</v>
      </c>
      <c r="AD738" s="271">
        <v>19</v>
      </c>
      <c r="AE738" s="309">
        <v>14</v>
      </c>
      <c r="AF738" s="309">
        <v>13</v>
      </c>
      <c r="AG738" s="309">
        <v>16</v>
      </c>
      <c r="AH738" s="309">
        <v>6</v>
      </c>
      <c r="AI738" s="309">
        <v>10</v>
      </c>
      <c r="AJ738" s="309">
        <v>3</v>
      </c>
      <c r="AK738" s="309">
        <v>2</v>
      </c>
      <c r="AL738" s="309">
        <v>11</v>
      </c>
      <c r="AM738" s="298">
        <v>16</v>
      </c>
      <c r="AN738" s="298">
        <v>16</v>
      </c>
      <c r="AO738" s="298">
        <v>15</v>
      </c>
      <c r="AP738" s="298">
        <v>15</v>
      </c>
      <c r="AQ738" s="298">
        <v>12</v>
      </c>
      <c r="AR738" s="298">
        <v>16</v>
      </c>
      <c r="AS738" s="298">
        <v>16</v>
      </c>
      <c r="AT738" s="298">
        <v>15</v>
      </c>
      <c r="AU738" s="298">
        <v>16</v>
      </c>
      <c r="AV738" s="298">
        <f t="shared" si="49"/>
        <v>16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7.3561000000000001E-2</v>
      </c>
      <c r="F739" s="274">
        <v>-2.3586999999999997E-2</v>
      </c>
      <c r="G739" s="274">
        <v>-6.7789999999999994E-3</v>
      </c>
      <c r="H739" s="274">
        <v>6.6119999999999998E-3</v>
      </c>
      <c r="I739" s="274">
        <v>-1.6042000000000001E-2</v>
      </c>
      <c r="J739" s="274">
        <v>-1.6042000000000001E-2</v>
      </c>
      <c r="K739" s="274">
        <v>-1.6428000000000002E-2</v>
      </c>
      <c r="L739" s="274">
        <v>1.9382E-2</v>
      </c>
      <c r="M739" s="274">
        <v>1.4628E-2</v>
      </c>
      <c r="N739" s="274">
        <v>-5.8859999999999997E-3</v>
      </c>
      <c r="O739" s="274">
        <v>-1.3221E-2</v>
      </c>
      <c r="P739" s="274">
        <v>-3.5001999999999998E-2</v>
      </c>
      <c r="Q739" s="274">
        <v>-1.8381000000000002E-2</v>
      </c>
      <c r="R739" s="274">
        <v>8.9569999999999997E-3</v>
      </c>
      <c r="S739" s="274">
        <v>1.4360999999999999E-2</v>
      </c>
      <c r="T739" s="274">
        <v>1.329E-2</v>
      </c>
      <c r="U739" s="274">
        <v>-1.2655000000000001E-2</v>
      </c>
      <c r="V739" s="274">
        <v>1.645E-3</v>
      </c>
      <c r="W739" s="274">
        <v>2.3630000000000001E-3</v>
      </c>
      <c r="X739" s="274">
        <v>5.9288999999999994E-2</v>
      </c>
      <c r="Y739" s="274">
        <v>7.3561000000000001E-2</v>
      </c>
      <c r="Z739" s="274">
        <f ca="1">[1]ExtEntry!$M44</f>
        <v>7.3561000000000001E-2</v>
      </c>
      <c r="AB739" s="271">
        <v>2</v>
      </c>
      <c r="AC739" s="271">
        <v>3</v>
      </c>
      <c r="AD739" s="271">
        <v>3</v>
      </c>
      <c r="AE739" s="309">
        <v>8</v>
      </c>
      <c r="AF739" s="309">
        <v>8</v>
      </c>
      <c r="AG739" s="309">
        <v>12</v>
      </c>
      <c r="AH739" s="309">
        <v>1</v>
      </c>
      <c r="AI739" s="309">
        <v>1</v>
      </c>
      <c r="AJ739" s="309">
        <v>2</v>
      </c>
      <c r="AK739" s="309">
        <v>4</v>
      </c>
      <c r="AL739" s="309">
        <v>7</v>
      </c>
      <c r="AM739" s="298">
        <v>13</v>
      </c>
      <c r="AN739" s="298">
        <v>13</v>
      </c>
      <c r="AO739" s="298">
        <v>10</v>
      </c>
      <c r="AP739" s="298">
        <v>7</v>
      </c>
      <c r="AQ739" s="298">
        <v>4</v>
      </c>
      <c r="AR739" s="298">
        <v>3</v>
      </c>
      <c r="AS739" s="298">
        <v>3</v>
      </c>
      <c r="AT739" s="298">
        <v>1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-6.4609999999999997E-3</v>
      </c>
      <c r="G740" s="274">
        <v>-7.339E-3</v>
      </c>
      <c r="H740" s="274">
        <v>8.6129999999999991E-3</v>
      </c>
      <c r="I740" s="274">
        <v>-3.0735999999999999E-2</v>
      </c>
      <c r="J740" s="274">
        <v>-3.0735999999999999E-2</v>
      </c>
      <c r="K740" s="274">
        <v>-1.7017999999999998E-2</v>
      </c>
      <c r="L740" s="274">
        <v>1.1287999999999999E-2</v>
      </c>
      <c r="M740" s="274">
        <v>1.2437E-2</v>
      </c>
      <c r="N740" s="274">
        <v>2.2620000000000001E-3</v>
      </c>
      <c r="O740" s="274">
        <v>-5.182E-3</v>
      </c>
      <c r="P740" s="274">
        <v>-3.1057000000000001E-2</v>
      </c>
      <c r="Q740" s="274">
        <v>-1.7606999999999998E-2</v>
      </c>
      <c r="R740" s="274">
        <v>8.0129999999999993E-3</v>
      </c>
      <c r="S740" s="274">
        <v>1.3134999999999999E-2</v>
      </c>
      <c r="T740" s="274">
        <v>1.6508999999999999E-2</v>
      </c>
      <c r="U740" s="274">
        <v>1.5488E-2</v>
      </c>
      <c r="V740" s="274">
        <v>1.4927999999999999E-2</v>
      </c>
      <c r="W740" s="274">
        <v>3.7860999999999999E-2</v>
      </c>
      <c r="X740" s="274">
        <v>-6.2589999999999998E-3</v>
      </c>
      <c r="Y740" s="274">
        <v>1.815E-3</v>
      </c>
      <c r="Z740" s="274">
        <f ca="1">[1]ExtEntry!$M45</f>
        <v>1.815E-3</v>
      </c>
      <c r="AB740" s="271">
        <v>8</v>
      </c>
      <c r="AC740" s="271">
        <v>13</v>
      </c>
      <c r="AD740" s="271">
        <v>13</v>
      </c>
      <c r="AE740" s="309">
        <v>19</v>
      </c>
      <c r="AF740" s="309">
        <v>18</v>
      </c>
      <c r="AG740" s="309">
        <v>20</v>
      </c>
      <c r="AH740" s="309">
        <v>14</v>
      </c>
      <c r="AI740" s="309">
        <v>12</v>
      </c>
      <c r="AJ740" s="309">
        <v>10</v>
      </c>
      <c r="AK740" s="309">
        <v>12</v>
      </c>
      <c r="AL740" s="309">
        <v>19</v>
      </c>
      <c r="AM740" s="298">
        <v>20</v>
      </c>
      <c r="AN740" s="298">
        <v>20</v>
      </c>
      <c r="AO740" s="298">
        <v>18</v>
      </c>
      <c r="AP740" s="298">
        <v>11</v>
      </c>
      <c r="AQ740" s="298">
        <v>1</v>
      </c>
      <c r="AR740" s="298">
        <v>1</v>
      </c>
      <c r="AS740" s="298">
        <v>1</v>
      </c>
      <c r="AT740" s="298">
        <v>2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-2.0915E-2</v>
      </c>
      <c r="G741" s="274">
        <v>2.0027E-2</v>
      </c>
      <c r="H741" s="274">
        <v>-1.7016E-2</v>
      </c>
      <c r="I741" s="274">
        <v>-6.6140000000000001E-3</v>
      </c>
      <c r="J741" s="274">
        <v>-6.6140000000000001E-3</v>
      </c>
      <c r="K741" s="274">
        <v>2.663E-3</v>
      </c>
      <c r="L741" s="274">
        <v>2.8036999999999999E-2</v>
      </c>
      <c r="M741" s="274">
        <v>-2.5974000000000001E-2</v>
      </c>
      <c r="N741" s="274">
        <v>-1.0666999999999999E-2</v>
      </c>
      <c r="O741" s="274">
        <v>1.6173E-2</v>
      </c>
      <c r="P741" s="274">
        <v>-1.7473000000000002E-2</v>
      </c>
      <c r="Q741" s="274">
        <v>-3.4200000000000001E-2</v>
      </c>
      <c r="R741" s="274">
        <v>1.4164000000000001E-2</v>
      </c>
      <c r="S741" s="274">
        <v>7.0320000000000001E-3</v>
      </c>
      <c r="T741" s="274">
        <v>2.2345999999999998E-2</v>
      </c>
      <c r="U741" s="274">
        <v>-7.0520000000000001E-3</v>
      </c>
      <c r="V741" s="274">
        <v>1.1364000000000001E-2</v>
      </c>
      <c r="W741" s="274">
        <v>1.8258E-2</v>
      </c>
      <c r="X741" s="274">
        <v>-2.4828000000000003E-2</v>
      </c>
      <c r="Y741" s="274">
        <v>2.5459999999999997E-2</v>
      </c>
      <c r="Z741" s="274">
        <f ca="1">[1]ExtEntry!$M46</f>
        <v>2.5459999999999997E-2</v>
      </c>
      <c r="AB741" s="271">
        <v>2</v>
      </c>
      <c r="AC741" s="271">
        <v>3</v>
      </c>
      <c r="AD741" s="271">
        <v>3</v>
      </c>
      <c r="AE741" s="309">
        <v>4</v>
      </c>
      <c r="AF741" s="309">
        <v>4</v>
      </c>
      <c r="AG741" s="309">
        <v>4</v>
      </c>
      <c r="AH741" s="309">
        <v>2</v>
      </c>
      <c r="AI741" s="309">
        <v>9</v>
      </c>
      <c r="AJ741" s="309">
        <v>13</v>
      </c>
      <c r="AK741" s="309">
        <v>5</v>
      </c>
      <c r="AL741" s="309">
        <v>14</v>
      </c>
      <c r="AM741" s="298">
        <v>20</v>
      </c>
      <c r="AN741" s="298">
        <v>20</v>
      </c>
      <c r="AO741" s="298">
        <v>16</v>
      </c>
      <c r="AP741" s="298">
        <v>13</v>
      </c>
      <c r="AQ741" s="298">
        <v>20</v>
      </c>
      <c r="AR741" s="298">
        <v>17</v>
      </c>
      <c r="AS741" s="298">
        <v>15</v>
      </c>
      <c r="AT741" s="298">
        <v>18</v>
      </c>
      <c r="AU741" s="298">
        <v>13</v>
      </c>
      <c r="AV741" s="298">
        <f t="shared" si="49"/>
        <v>13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-3.2593000000000004E-2</v>
      </c>
      <c r="G742" s="274">
        <v>-3.8102999999999998E-2</v>
      </c>
      <c r="H742" s="274">
        <v>-2.5902999999999999E-2</v>
      </c>
      <c r="I742" s="274">
        <v>-8.0000000000000002E-3</v>
      </c>
      <c r="J742" s="274">
        <v>-8.0000000000000002E-3</v>
      </c>
      <c r="K742" s="274">
        <v>-2.4E-2</v>
      </c>
      <c r="L742" s="274">
        <v>-7.8989999999999998E-3</v>
      </c>
      <c r="M742" s="274">
        <v>3.3439000000000003E-2</v>
      </c>
      <c r="N742" s="274">
        <v>2.1572000000000001E-2</v>
      </c>
      <c r="O742" s="274">
        <v>2.5640999999999997E-2</v>
      </c>
      <c r="P742" s="274">
        <v>-4.4005999999999997E-2</v>
      </c>
      <c r="Q742" s="274">
        <v>-4.0475999999999998E-2</v>
      </c>
      <c r="R742" s="274">
        <v>2.6587E-2</v>
      </c>
      <c r="S742" s="274">
        <v>3.4305000000000002E-2</v>
      </c>
      <c r="T742" s="274">
        <v>3.6484000000000003E-2</v>
      </c>
      <c r="U742" s="274">
        <v>0.125</v>
      </c>
      <c r="V742" s="274">
        <v>-1.6529000000000002E-2</v>
      </c>
      <c r="W742" s="274">
        <v>-4.0616000000000006E-2</v>
      </c>
      <c r="X742" s="274">
        <v>4.1605999999999997E-2</v>
      </c>
      <c r="Y742" s="274">
        <v>-2.3910000000000001E-2</v>
      </c>
      <c r="Z742" s="274">
        <f ca="1">[1]ExtEntry!$M47</f>
        <v>-2.3910000000000001E-2</v>
      </c>
      <c r="AB742" s="271">
        <v>3</v>
      </c>
      <c r="AC742" s="271">
        <v>6</v>
      </c>
      <c r="AD742" s="271">
        <v>6</v>
      </c>
      <c r="AE742" s="309">
        <v>7</v>
      </c>
      <c r="AF742" s="309">
        <v>7</v>
      </c>
      <c r="AG742" s="309">
        <v>10</v>
      </c>
      <c r="AH742" s="309">
        <v>6</v>
      </c>
      <c r="AI742" s="309">
        <v>6</v>
      </c>
      <c r="AJ742" s="309">
        <v>5</v>
      </c>
      <c r="AK742" s="309">
        <v>4</v>
      </c>
      <c r="AL742" s="309">
        <v>9</v>
      </c>
      <c r="AM742" s="298">
        <v>16</v>
      </c>
      <c r="AN742" s="298">
        <v>16</v>
      </c>
      <c r="AO742" s="298">
        <v>17</v>
      </c>
      <c r="AP742" s="298">
        <v>11</v>
      </c>
      <c r="AQ742" s="298">
        <v>3</v>
      </c>
      <c r="AR742" s="298">
        <v>3</v>
      </c>
      <c r="AS742" s="298">
        <v>3</v>
      </c>
      <c r="AT742" s="298">
        <v>3</v>
      </c>
      <c r="AU742" s="298">
        <v>4</v>
      </c>
      <c r="AV742" s="298">
        <f t="shared" si="49"/>
        <v>4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1.6180000000000001E-3</v>
      </c>
      <c r="G743" s="274">
        <v>-1.8057E-2</v>
      </c>
      <c r="H743" s="274">
        <v>-1.2468E-2</v>
      </c>
      <c r="I743" s="274">
        <v>-3.7610999999999999E-2</v>
      </c>
      <c r="J743" s="274">
        <v>-3.7610999999999999E-2</v>
      </c>
      <c r="K743" s="274">
        <v>-1.2682000000000001E-2</v>
      </c>
      <c r="L743" s="274">
        <v>7.8229999999999999E-4</v>
      </c>
      <c r="M743" s="274">
        <v>1.2846999999999999E-2</v>
      </c>
      <c r="N743" s="274">
        <v>7.6930000000000002E-3</v>
      </c>
      <c r="O743" s="274">
        <v>2.7244000000000001E-2</v>
      </c>
      <c r="P743" s="274">
        <v>-3.6481E-2</v>
      </c>
      <c r="Q743" s="274">
        <v>-1.0187999999999999E-2</v>
      </c>
      <c r="R743" s="274">
        <v>4.0239999999999998E-3</v>
      </c>
      <c r="S743" s="274">
        <v>1.3915E-2</v>
      </c>
      <c r="T743" s="274">
        <v>1.2269E-2</v>
      </c>
      <c r="U743" s="274">
        <v>3.2129999999999999E-2</v>
      </c>
      <c r="V743" s="274">
        <v>-2.598E-2</v>
      </c>
      <c r="W743" s="274">
        <v>9.7722000000000003E-2</v>
      </c>
      <c r="X743" s="274">
        <v>-2.7030999999999999E-2</v>
      </c>
      <c r="Y743" s="274">
        <v>6.6739999999999996E-4</v>
      </c>
      <c r="Z743" s="274">
        <f ca="1">[1]ExtEntry!$M48</f>
        <v>6.6739999999999996E-4</v>
      </c>
      <c r="AB743" s="271">
        <v>2</v>
      </c>
      <c r="AC743" s="271">
        <v>4</v>
      </c>
      <c r="AD743" s="271">
        <v>4</v>
      </c>
      <c r="AE743" s="309">
        <v>8</v>
      </c>
      <c r="AF743" s="309">
        <v>8</v>
      </c>
      <c r="AG743" s="309">
        <v>13</v>
      </c>
      <c r="AH743" s="309">
        <v>10</v>
      </c>
      <c r="AI743" s="309">
        <v>7</v>
      </c>
      <c r="AJ743" s="309">
        <v>7</v>
      </c>
      <c r="AK743" s="309">
        <v>3</v>
      </c>
      <c r="AL743" s="309">
        <v>10</v>
      </c>
      <c r="AM743" s="298">
        <v>11</v>
      </c>
      <c r="AN743" s="298">
        <v>11</v>
      </c>
      <c r="AO743" s="298">
        <v>8</v>
      </c>
      <c r="AP743" s="298">
        <v>4</v>
      </c>
      <c r="AQ743" s="298">
        <v>1</v>
      </c>
      <c r="AR743" s="298">
        <v>2</v>
      </c>
      <c r="AS743" s="298">
        <v>1</v>
      </c>
      <c r="AT743" s="298">
        <v>2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-4.9330000000000001E-4</v>
      </c>
      <c r="G744" s="274">
        <v>5.7359999999999998E-3</v>
      </c>
      <c r="H744" s="274">
        <v>-1.5384999999999999E-2</v>
      </c>
      <c r="I744" s="274">
        <v>1.9272000000000001E-2</v>
      </c>
      <c r="J744" s="274">
        <v>1.9272000000000001E-2</v>
      </c>
      <c r="K744" s="274">
        <v>1.6200000000000001E-3</v>
      </c>
      <c r="L744" s="274">
        <v>-2.3144999999999999E-2</v>
      </c>
      <c r="M744" s="274">
        <v>1.9470000000000002E-3</v>
      </c>
      <c r="N744" s="274">
        <v>-1.0366E-2</v>
      </c>
      <c r="O744" s="274">
        <v>5.0739999999999995E-3</v>
      </c>
      <c r="P744" s="274">
        <v>-2.1440000000000001E-3</v>
      </c>
      <c r="Q744" s="274">
        <v>-3.8537000000000002E-2</v>
      </c>
      <c r="R744" s="274">
        <v>-8.0540000000000004E-3</v>
      </c>
      <c r="S744" s="274">
        <v>-6.43E-3</v>
      </c>
      <c r="T744" s="274">
        <v>-4.4280000000000005E-3</v>
      </c>
      <c r="U744" s="274">
        <v>-1.1183E-2</v>
      </c>
      <c r="V744" s="274">
        <v>2.0560000000000001E-3</v>
      </c>
      <c r="W744" s="274">
        <v>-3.4200000000000003E-3</v>
      </c>
      <c r="X744" s="274">
        <v>1.3212E-2</v>
      </c>
      <c r="Y744" s="274">
        <v>-8.0870000000000004E-3</v>
      </c>
      <c r="Z744" s="274">
        <f ca="1">[1]ExtEntry!$M49</f>
        <v>-8.0870000000000004E-3</v>
      </c>
      <c r="AB744" s="271">
        <v>4</v>
      </c>
      <c r="AC744" s="271">
        <v>1</v>
      </c>
      <c r="AD744" s="271">
        <v>1</v>
      </c>
      <c r="AE744" s="309">
        <v>1</v>
      </c>
      <c r="AF744" s="309">
        <v>1</v>
      </c>
      <c r="AG744" s="309">
        <v>1</v>
      </c>
      <c r="AH744" s="309">
        <v>2</v>
      </c>
      <c r="AI744" s="309">
        <v>2</v>
      </c>
      <c r="AJ744" s="309">
        <v>7</v>
      </c>
      <c r="AK744" s="309">
        <v>6</v>
      </c>
      <c r="AL744" s="309">
        <v>6</v>
      </c>
      <c r="AM744" s="298">
        <v>14</v>
      </c>
      <c r="AN744" s="298">
        <v>14</v>
      </c>
      <c r="AO744" s="298">
        <v>15</v>
      </c>
      <c r="AP744" s="298">
        <v>17</v>
      </c>
      <c r="AQ744" s="298">
        <v>18</v>
      </c>
      <c r="AR744" s="298">
        <v>17</v>
      </c>
      <c r="AS744" s="298">
        <v>20</v>
      </c>
      <c r="AT744" s="298">
        <v>14</v>
      </c>
      <c r="AU744" s="298">
        <v>15</v>
      </c>
      <c r="AV744" s="298">
        <f t="shared" si="49"/>
        <v>15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0</v>
      </c>
      <c r="G745" s="274">
        <v>-1.658E-3</v>
      </c>
      <c r="H745" s="274">
        <v>9.9500000000000005E-3</v>
      </c>
      <c r="I745" s="274">
        <v>8.2240000000000004E-3</v>
      </c>
      <c r="J745" s="274">
        <v>8.2240000000000004E-3</v>
      </c>
      <c r="K745" s="274">
        <v>-8.1569999999999993E-3</v>
      </c>
      <c r="L745" s="274">
        <v>0</v>
      </c>
      <c r="M745" s="274">
        <v>-3.2469999999999999E-3</v>
      </c>
      <c r="N745" s="274">
        <v>1.6289999999999998E-3</v>
      </c>
      <c r="O745" s="274">
        <v>0</v>
      </c>
      <c r="P745" s="274">
        <v>0</v>
      </c>
      <c r="Q745" s="274">
        <v>-1.1474999999999999E-2</v>
      </c>
      <c r="R745" s="274">
        <v>0</v>
      </c>
      <c r="S745" s="274">
        <v>1.4851000000000001E-2</v>
      </c>
      <c r="T745" s="274">
        <v>4.862E-3</v>
      </c>
      <c r="U745" s="274">
        <v>4.8780000000000004E-3</v>
      </c>
      <c r="V745" s="274">
        <v>0</v>
      </c>
      <c r="W745" s="274">
        <v>-1.6180000000000001E-3</v>
      </c>
      <c r="X745" s="274">
        <v>-4.862E-3</v>
      </c>
      <c r="Y745" s="274">
        <v>-1.6289999999999998E-3</v>
      </c>
      <c r="Z745" s="274">
        <f ca="1">[1]ExtEntry!$M50</f>
        <v>-1.6289999999999998E-3</v>
      </c>
      <c r="AB745" s="271">
        <v>12</v>
      </c>
      <c r="AC745" s="271">
        <v>12</v>
      </c>
      <c r="AD745" s="271">
        <v>12</v>
      </c>
      <c r="AE745" s="309">
        <v>5</v>
      </c>
      <c r="AF745" s="309">
        <v>4</v>
      </c>
      <c r="AG745" s="309">
        <v>6</v>
      </c>
      <c r="AH745" s="309">
        <v>2</v>
      </c>
      <c r="AI745" s="309">
        <v>2</v>
      </c>
      <c r="AJ745" s="309">
        <v>2</v>
      </c>
      <c r="AK745" s="309">
        <v>2</v>
      </c>
      <c r="AL745" s="309">
        <v>7</v>
      </c>
      <c r="AM745" s="298">
        <v>11</v>
      </c>
      <c r="AN745" s="298">
        <v>11</v>
      </c>
      <c r="AO745" s="298">
        <v>11</v>
      </c>
      <c r="AP745" s="298">
        <v>1</v>
      </c>
      <c r="AQ745" s="298">
        <v>2</v>
      </c>
      <c r="AR745" s="298">
        <v>2</v>
      </c>
      <c r="AS745" s="298">
        <v>4</v>
      </c>
      <c r="AT745" s="298">
        <v>9</v>
      </c>
      <c r="AU745" s="298">
        <v>11</v>
      </c>
      <c r="AV745" s="298">
        <f t="shared" si="49"/>
        <v>11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1.537E-2</v>
      </c>
      <c r="F746" s="274">
        <v>1.537E-2</v>
      </c>
      <c r="G746" s="274">
        <v>-1.2161E-2</v>
      </c>
      <c r="H746" s="274">
        <v>1.1310000000000001E-2</v>
      </c>
      <c r="I746" s="274">
        <v>-4.704E-4</v>
      </c>
      <c r="J746" s="274">
        <v>-4.704E-4</v>
      </c>
      <c r="K746" s="274">
        <v>-2.8089999999999999E-3</v>
      </c>
      <c r="L746" s="274">
        <v>-9.389999999999999E-3</v>
      </c>
      <c r="M746" s="274">
        <v>-1.3269999999999999E-2</v>
      </c>
      <c r="N746" s="274">
        <v>9.6060000000000004E-4</v>
      </c>
      <c r="O746" s="274">
        <v>-1.5365E-2</v>
      </c>
      <c r="P746" s="274">
        <v>1.3448999999999999E-2</v>
      </c>
      <c r="Q746" s="274">
        <v>-5.6870000000000002E-3</v>
      </c>
      <c r="R746" s="274">
        <v>-1.4199999999999998E-3</v>
      </c>
      <c r="S746" s="274">
        <v>-9.4700000000000003E-4</v>
      </c>
      <c r="T746" s="274">
        <v>-2.0853E-2</v>
      </c>
      <c r="U746" s="274">
        <v>-1.905E-3</v>
      </c>
      <c r="V746" s="274">
        <v>-2.8630000000000001E-3</v>
      </c>
      <c r="W746" s="274">
        <v>-2.0095999999999999E-2</v>
      </c>
      <c r="X746" s="274">
        <v>-9.7660000000000004E-3</v>
      </c>
      <c r="Y746" s="274">
        <v>-2.0649000000000001E-2</v>
      </c>
      <c r="Z746" s="274">
        <f ca="1">[1]ExtEntry!$M51</f>
        <v>-2.0649000000000001E-2</v>
      </c>
      <c r="AB746" s="271">
        <v>1</v>
      </c>
      <c r="AC746" s="271">
        <v>2</v>
      </c>
      <c r="AD746" s="271">
        <v>2</v>
      </c>
      <c r="AE746" s="309">
        <v>2</v>
      </c>
      <c r="AF746" s="309">
        <v>2</v>
      </c>
      <c r="AG746" s="309">
        <v>2</v>
      </c>
      <c r="AH746" s="309">
        <v>7</v>
      </c>
      <c r="AI746" s="309">
        <v>8</v>
      </c>
      <c r="AJ746" s="309">
        <v>8</v>
      </c>
      <c r="AK746" s="309">
        <v>11</v>
      </c>
      <c r="AL746" s="309">
        <v>7</v>
      </c>
      <c r="AM746" s="298">
        <v>9</v>
      </c>
      <c r="AN746" s="298">
        <v>9</v>
      </c>
      <c r="AO746" s="298">
        <v>9</v>
      </c>
      <c r="AP746" s="298">
        <v>14</v>
      </c>
      <c r="AQ746" s="298">
        <v>12</v>
      </c>
      <c r="AR746" s="298">
        <v>13</v>
      </c>
      <c r="AS746" s="298">
        <v>19</v>
      </c>
      <c r="AT746" s="298">
        <v>20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5.4669999999999996E-3</v>
      </c>
      <c r="G747" s="274">
        <v>-1.2959999999999998E-3</v>
      </c>
      <c r="H747" s="274">
        <v>2.9260000000000002E-3</v>
      </c>
      <c r="I747" s="274">
        <v>3.7499999999999999E-3</v>
      </c>
      <c r="J747" s="274">
        <v>3.7499999999999999E-3</v>
      </c>
      <c r="K747" s="274">
        <v>9.9340000000000001E-3</v>
      </c>
      <c r="L747" s="274">
        <v>-8.2850000000000007E-3</v>
      </c>
      <c r="M747" s="274">
        <v>-4.1770000000000002E-3</v>
      </c>
      <c r="N747" s="274">
        <v>5.0339999999999994E-3</v>
      </c>
      <c r="O747" s="274">
        <v>5.0339999999999994E-3</v>
      </c>
      <c r="P747" s="274">
        <v>0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6</v>
      </c>
      <c r="AI747" s="309">
        <v>8</v>
      </c>
      <c r="AJ747" s="309">
        <v>6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-8.3639999999999999E-3</v>
      </c>
      <c r="G748" s="274">
        <v>6.2039999999999994E-3</v>
      </c>
      <c r="H748" s="274">
        <v>3.5210000000000003E-3</v>
      </c>
      <c r="I748" s="274">
        <v>4.4510000000000001E-3</v>
      </c>
      <c r="J748" s="274">
        <v>4.4510000000000001E-3</v>
      </c>
      <c r="K748" s="274">
        <v>1.0519000000000001E-2</v>
      </c>
      <c r="L748" s="274">
        <v>4.1789999999999996E-3</v>
      </c>
      <c r="M748" s="274">
        <v>-1.879E-3</v>
      </c>
      <c r="N748" s="274">
        <v>1.1032E-2</v>
      </c>
      <c r="O748" s="274">
        <v>8.8690000000000004E-4</v>
      </c>
      <c r="P748" s="274">
        <v>8.293E-3</v>
      </c>
      <c r="Q748" s="274">
        <v>1.225E-3</v>
      </c>
      <c r="R748" s="274">
        <v>-2.1187999999999999E-2</v>
      </c>
      <c r="S748" s="274">
        <v>-2.4239E-2</v>
      </c>
      <c r="T748" s="274">
        <v>4.3790000000000001E-3</v>
      </c>
      <c r="U748" s="274">
        <v>6.1339999999999997E-3</v>
      </c>
      <c r="V748" s="274">
        <v>7.5100000000000002E-3</v>
      </c>
      <c r="W748" s="274">
        <v>1.7080999999999999E-2</v>
      </c>
      <c r="X748" s="274">
        <v>-1.867E-3</v>
      </c>
      <c r="Y748" s="274">
        <v>4.459E-4</v>
      </c>
      <c r="Z748" s="274">
        <f ca="1">[1]ExtEntry!$M53</f>
        <v>4.459E-4</v>
      </c>
      <c r="AB748" s="271">
        <v>19</v>
      </c>
      <c r="AC748" s="271">
        <v>17</v>
      </c>
      <c r="AD748" s="271">
        <v>17</v>
      </c>
      <c r="AE748" s="309">
        <v>14</v>
      </c>
      <c r="AF748" s="309">
        <v>13</v>
      </c>
      <c r="AG748" s="309">
        <v>11</v>
      </c>
      <c r="AH748" s="309">
        <v>2</v>
      </c>
      <c r="AI748" s="309">
        <v>4</v>
      </c>
      <c r="AJ748" s="309">
        <v>1</v>
      </c>
      <c r="AK748" s="309">
        <v>1</v>
      </c>
      <c r="AL748" s="309">
        <v>1</v>
      </c>
      <c r="AM748" s="298">
        <v>1</v>
      </c>
      <c r="AN748" s="298">
        <v>1</v>
      </c>
      <c r="AO748" s="298">
        <v>5</v>
      </c>
      <c r="AP748" s="298">
        <v>5</v>
      </c>
      <c r="AQ748" s="298">
        <v>10</v>
      </c>
      <c r="AR748" s="298">
        <v>10</v>
      </c>
      <c r="AS748" s="298">
        <v>5</v>
      </c>
      <c r="AT748" s="298">
        <v>7</v>
      </c>
      <c r="AU748" s="298">
        <v>9</v>
      </c>
      <c r="AV748" s="298">
        <f t="shared" si="49"/>
        <v>9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-6.5811000000000008E-2</v>
      </c>
      <c r="G749" s="274">
        <v>-8.489E-3</v>
      </c>
      <c r="H749" s="274">
        <v>2.3689000000000002E-2</v>
      </c>
      <c r="I749" s="274">
        <v>4.0720000000000001E-3</v>
      </c>
      <c r="J749" s="274">
        <v>4.0720000000000001E-3</v>
      </c>
      <c r="K749" s="274">
        <v>-2.1070000000000002E-2</v>
      </c>
      <c r="L749" s="274">
        <v>4.8309999999999994E-3</v>
      </c>
      <c r="M749" s="274">
        <v>-3.3762E-2</v>
      </c>
      <c r="N749" s="274">
        <v>1.3311E-2</v>
      </c>
      <c r="O749" s="274">
        <v>-8.8669999999999999E-3</v>
      </c>
      <c r="P749" s="274">
        <v>-6.6230000000000004E-3</v>
      </c>
      <c r="Q749" s="274">
        <v>-2.4167000000000001E-2</v>
      </c>
      <c r="R749" s="274">
        <v>1.0221000000000001E-2</v>
      </c>
      <c r="S749" s="274">
        <v>1.704E-3</v>
      </c>
      <c r="T749" s="274">
        <v>2.3809999999999998E-2</v>
      </c>
      <c r="U749" s="274">
        <v>0</v>
      </c>
      <c r="V749" s="274">
        <v>-1.9576E-2</v>
      </c>
      <c r="W749" s="274">
        <v>-1.1647000000000001E-2</v>
      </c>
      <c r="X749" s="274">
        <v>1.9359999999999999E-2</v>
      </c>
      <c r="Y749" s="274">
        <v>-6.5900000000000004E-3</v>
      </c>
      <c r="Z749" s="274">
        <f ca="1">[1]ExtEntry!$M54</f>
        <v>-6.5900000000000004E-3</v>
      </c>
      <c r="AB749" s="271">
        <v>14</v>
      </c>
      <c r="AC749" s="271">
        <v>16</v>
      </c>
      <c r="AD749" s="271">
        <v>16</v>
      </c>
      <c r="AE749" s="309">
        <v>10</v>
      </c>
      <c r="AF749" s="309">
        <v>9</v>
      </c>
      <c r="AG749" s="309">
        <v>13</v>
      </c>
      <c r="AH749" s="309">
        <v>6</v>
      </c>
      <c r="AI749" s="309">
        <v>14</v>
      </c>
      <c r="AJ749" s="309">
        <v>9</v>
      </c>
      <c r="AK749" s="309">
        <v>12</v>
      </c>
      <c r="AL749" s="309">
        <v>14</v>
      </c>
      <c r="AM749" s="298">
        <v>15</v>
      </c>
      <c r="AN749" s="298">
        <v>15</v>
      </c>
      <c r="AO749" s="298">
        <v>13</v>
      </c>
      <c r="AP749" s="298">
        <v>10</v>
      </c>
      <c r="AQ749" s="298">
        <v>4</v>
      </c>
      <c r="AR749" s="298">
        <v>12</v>
      </c>
      <c r="AS749" s="298">
        <v>15</v>
      </c>
      <c r="AT749" s="298">
        <v>7</v>
      </c>
      <c r="AU749" s="298">
        <v>10</v>
      </c>
      <c r="AV749" s="298">
        <f t="shared" si="49"/>
        <v>10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0</v>
      </c>
      <c r="G750" s="274">
        <v>-2.0833000000000001E-2</v>
      </c>
      <c r="H750" s="274">
        <v>0</v>
      </c>
      <c r="I750" s="274">
        <v>-1.2500000000000001E-2</v>
      </c>
      <c r="J750" s="274">
        <v>-1.2500000000000001E-2</v>
      </c>
      <c r="K750" s="274">
        <v>-8.4390000000000003E-3</v>
      </c>
      <c r="L750" s="274">
        <v>-2.3403999999999998E-2</v>
      </c>
      <c r="M750" s="274">
        <v>-8.7150000000000005E-3</v>
      </c>
      <c r="N750" s="274">
        <v>8.7910000000000002E-3</v>
      </c>
      <c r="O750" s="274">
        <v>0</v>
      </c>
      <c r="P750" s="274">
        <v>-2.7719000000000001E-2</v>
      </c>
      <c r="Q750" s="274">
        <v>-1.0989000000000001E-2</v>
      </c>
      <c r="R750" s="274">
        <v>3.1111E-2</v>
      </c>
      <c r="S750" s="274">
        <v>-3.0171999999999997E-2</v>
      </c>
      <c r="T750" s="274">
        <v>2.2936000000000002E-2</v>
      </c>
      <c r="U750" s="274">
        <v>-2.1978000000000001E-2</v>
      </c>
      <c r="V750" s="274">
        <v>1.3483E-2</v>
      </c>
      <c r="W750" s="274">
        <v>6.6519999999999999E-3</v>
      </c>
      <c r="X750" s="274">
        <v>-2.2026E-2</v>
      </c>
      <c r="Y750" s="274">
        <v>2.2520000000000001E-3</v>
      </c>
      <c r="Z750" s="274">
        <f ca="1">[1]ExtEntry!$M55</f>
        <v>2.2520000000000001E-3</v>
      </c>
      <c r="AB750" s="271">
        <v>2</v>
      </c>
      <c r="AC750" s="271">
        <v>4</v>
      </c>
      <c r="AD750" s="271">
        <v>4</v>
      </c>
      <c r="AE750" s="309">
        <v>5</v>
      </c>
      <c r="AF750" s="309">
        <v>5</v>
      </c>
      <c r="AG750" s="309">
        <v>7</v>
      </c>
      <c r="AH750" s="309">
        <v>12</v>
      </c>
      <c r="AI750" s="309">
        <v>15</v>
      </c>
      <c r="AJ750" s="309">
        <v>12</v>
      </c>
      <c r="AK750" s="309">
        <v>12</v>
      </c>
      <c r="AL750" s="309">
        <v>15</v>
      </c>
      <c r="AM750" s="298">
        <v>17</v>
      </c>
      <c r="AN750" s="298">
        <v>17</v>
      </c>
      <c r="AO750" s="298">
        <v>9</v>
      </c>
      <c r="AP750" s="298">
        <v>20</v>
      </c>
      <c r="AQ750" s="298">
        <v>20</v>
      </c>
      <c r="AR750" s="298">
        <v>16</v>
      </c>
      <c r="AS750" s="298">
        <v>15</v>
      </c>
      <c r="AT750" s="298">
        <v>20</v>
      </c>
      <c r="AU750" s="298">
        <v>18</v>
      </c>
      <c r="AV750" s="298">
        <f t="shared" si="49"/>
        <v>18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-0.11588</v>
      </c>
      <c r="G751" s="274">
        <v>4.7850000000000004E-5</v>
      </c>
      <c r="H751" s="274">
        <v>-1.9512000000000002E-2</v>
      </c>
      <c r="I751" s="274">
        <v>-5.0239000000000006E-2</v>
      </c>
      <c r="J751" s="274">
        <v>-5.0239000000000006E-2</v>
      </c>
      <c r="K751" s="274">
        <v>0</v>
      </c>
      <c r="L751" s="274">
        <v>3.5714000000000003E-2</v>
      </c>
      <c r="M751" s="274">
        <v>-1.6055E-2</v>
      </c>
      <c r="N751" s="274">
        <v>0.193023</v>
      </c>
      <c r="O751" s="274">
        <v>-5.3047000000000004E-2</v>
      </c>
      <c r="P751" s="274">
        <v>-4.5643000000000003E-2</v>
      </c>
      <c r="Q751" s="274">
        <v>-4.1304E-2</v>
      </c>
      <c r="R751" s="274">
        <v>-2.7385000000000003E-2</v>
      </c>
      <c r="S751" s="274">
        <v>-5.9633000000000005E-2</v>
      </c>
      <c r="T751" s="274">
        <v>0</v>
      </c>
      <c r="U751" s="274">
        <v>2.3584999999999998E-2</v>
      </c>
      <c r="V751" s="274">
        <v>-3.2258000000000002E-2</v>
      </c>
      <c r="W751" s="274">
        <v>9.5239999999999995E-3</v>
      </c>
      <c r="X751" s="274">
        <v>6.1321000000000001E-2</v>
      </c>
      <c r="Y751" s="274">
        <v>-1.1110999999999999E-2</v>
      </c>
      <c r="Z751" s="274">
        <f ca="1">[1]ExtEntry!$M56</f>
        <v>-1.1110999999999999E-2</v>
      </c>
      <c r="AB751" s="271">
        <v>2</v>
      </c>
      <c r="AC751" s="271">
        <v>3</v>
      </c>
      <c r="AD751" s="271">
        <v>3</v>
      </c>
      <c r="AE751" s="309">
        <v>6</v>
      </c>
      <c r="AF751" s="309">
        <v>6</v>
      </c>
      <c r="AG751" s="309">
        <v>8</v>
      </c>
      <c r="AH751" s="309">
        <v>3</v>
      </c>
      <c r="AI751" s="309">
        <v>4</v>
      </c>
      <c r="AJ751" s="309">
        <v>1</v>
      </c>
      <c r="AK751" s="309">
        <v>2</v>
      </c>
      <c r="AL751" s="309">
        <v>3</v>
      </c>
      <c r="AM751" s="298">
        <v>5</v>
      </c>
      <c r="AN751" s="298">
        <v>5</v>
      </c>
      <c r="AO751" s="298">
        <v>9</v>
      </c>
      <c r="AP751" s="298">
        <v>12</v>
      </c>
      <c r="AQ751" s="298">
        <v>8</v>
      </c>
      <c r="AR751" s="298">
        <v>11</v>
      </c>
      <c r="AS751" s="298">
        <v>11</v>
      </c>
      <c r="AT751" s="298">
        <v>4</v>
      </c>
      <c r="AU751" s="298">
        <v>5</v>
      </c>
      <c r="AV751" s="298">
        <f t="shared" si="49"/>
        <v>5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-4.8560000000000001E-3</v>
      </c>
      <c r="G752" s="274">
        <v>1.3138E-2</v>
      </c>
      <c r="H752" s="274">
        <v>-7.0660000000000002E-3</v>
      </c>
      <c r="I752" s="274">
        <v>1.0479E-2</v>
      </c>
      <c r="J752" s="274">
        <v>1.0479E-2</v>
      </c>
      <c r="K752" s="274">
        <v>1.0741000000000001E-2</v>
      </c>
      <c r="L752" s="274">
        <v>-1.2532000000000001E-2</v>
      </c>
      <c r="M752" s="274">
        <v>-1.2690999999999999E-2</v>
      </c>
      <c r="N752" s="274">
        <v>1.4744999999999999E-2</v>
      </c>
      <c r="O752" s="274">
        <v>5.2159999999999993E-3</v>
      </c>
      <c r="P752" s="274">
        <v>3.3829999999999997E-3</v>
      </c>
      <c r="Q752" s="274">
        <v>-1.0518000000000001E-2</v>
      </c>
      <c r="R752" s="274">
        <v>4.5579999999999996E-3</v>
      </c>
      <c r="S752" s="274">
        <v>-3.7639999999999999E-4</v>
      </c>
      <c r="T752" s="274">
        <v>4.4879999999999998E-3</v>
      </c>
      <c r="U752" s="274">
        <v>2.1642000000000002E-2</v>
      </c>
      <c r="V752" s="274">
        <v>1.6434999999999998E-2</v>
      </c>
      <c r="W752" s="274">
        <v>-1.6888E-2</v>
      </c>
      <c r="X752" s="274">
        <v>-2.5580000000000004E-3</v>
      </c>
      <c r="Y752" s="274">
        <v>9.894E-3</v>
      </c>
      <c r="Z752" s="274">
        <f ca="1">[1]ExtEntry!$M57</f>
        <v>9.894E-3</v>
      </c>
      <c r="AB752" s="271">
        <v>19</v>
      </c>
      <c r="AC752" s="271">
        <v>17</v>
      </c>
      <c r="AD752" s="271">
        <v>17</v>
      </c>
      <c r="AE752" s="309">
        <v>15</v>
      </c>
      <c r="AF752" s="309">
        <v>14</v>
      </c>
      <c r="AG752" s="309">
        <v>13</v>
      </c>
      <c r="AH752" s="309">
        <v>16</v>
      </c>
      <c r="AI752" s="309">
        <v>20</v>
      </c>
      <c r="AJ752" s="309">
        <v>14</v>
      </c>
      <c r="AK752" s="309">
        <v>13</v>
      </c>
      <c r="AL752" s="309">
        <v>17</v>
      </c>
      <c r="AM752" s="298">
        <v>20</v>
      </c>
      <c r="AN752" s="298">
        <v>20</v>
      </c>
      <c r="AO752" s="298">
        <v>18</v>
      </c>
      <c r="AP752" s="298">
        <v>9</v>
      </c>
      <c r="AQ752" s="298">
        <v>3</v>
      </c>
      <c r="AR752" s="298">
        <v>1</v>
      </c>
      <c r="AS752" s="298">
        <v>3</v>
      </c>
      <c r="AT752" s="298">
        <v>4</v>
      </c>
      <c r="AU752" s="298">
        <v>2</v>
      </c>
      <c r="AV752" s="298">
        <f t="shared" si="49"/>
        <v>2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1.5038000000000001E-2</v>
      </c>
      <c r="F753" s="274">
        <v>-9.3749999999999997E-4</v>
      </c>
      <c r="G753" s="274">
        <v>-8.4450000000000011E-3</v>
      </c>
      <c r="H753" s="274">
        <v>-4.4349999999999997E-3</v>
      </c>
      <c r="I753" s="274">
        <v>-4.4400000000000004E-3</v>
      </c>
      <c r="J753" s="274">
        <v>-4.4400000000000004E-3</v>
      </c>
      <c r="K753" s="274">
        <v>-5.0970000000000008E-3</v>
      </c>
      <c r="L753" s="274">
        <v>-1.9420000000000001E-3</v>
      </c>
      <c r="M753" s="274">
        <v>1.0055000000000001E-2</v>
      </c>
      <c r="N753" s="274">
        <v>6.744E-3</v>
      </c>
      <c r="O753" s="274">
        <v>-1.0206999999999999E-2</v>
      </c>
      <c r="P753" s="274">
        <v>-9.1830000000000002E-3</v>
      </c>
      <c r="Q753" s="274">
        <v>-2.5564E-2</v>
      </c>
      <c r="R753" s="274">
        <v>-7.4750000000000007E-3</v>
      </c>
      <c r="S753" s="274">
        <v>1.1792E-2</v>
      </c>
      <c r="T753" s="274">
        <v>7.705E-3</v>
      </c>
      <c r="U753" s="274">
        <v>1.1203000000000001E-2</v>
      </c>
      <c r="V753" s="274">
        <v>-2.6069999999999999E-3</v>
      </c>
      <c r="W753" s="274">
        <v>1.6329999999999999E-3</v>
      </c>
      <c r="X753" s="274">
        <v>-2.2829999999999999E-3</v>
      </c>
      <c r="Y753" s="274">
        <v>1.5038000000000001E-2</v>
      </c>
      <c r="Z753" s="274">
        <f ca="1">[1]ExtEntry!$M58</f>
        <v>1.5038000000000001E-2</v>
      </c>
      <c r="AB753" s="271">
        <v>8</v>
      </c>
      <c r="AC753" s="271">
        <v>14</v>
      </c>
      <c r="AD753" s="271">
        <v>14</v>
      </c>
      <c r="AE753" s="309">
        <v>20</v>
      </c>
      <c r="AF753" s="309">
        <v>19</v>
      </c>
      <c r="AG753" s="309">
        <v>20</v>
      </c>
      <c r="AH753" s="309">
        <v>20</v>
      </c>
      <c r="AI753" s="309">
        <v>19</v>
      </c>
      <c r="AJ753" s="309">
        <v>17</v>
      </c>
      <c r="AK753" s="309">
        <v>19</v>
      </c>
      <c r="AL753" s="309">
        <v>20</v>
      </c>
      <c r="AM753" s="298">
        <v>20</v>
      </c>
      <c r="AN753" s="298">
        <v>20</v>
      </c>
      <c r="AO753" s="298">
        <v>20</v>
      </c>
      <c r="AP753" s="298">
        <v>17</v>
      </c>
      <c r="AQ753" s="298">
        <v>15</v>
      </c>
      <c r="AR753" s="298">
        <v>15</v>
      </c>
      <c r="AS753" s="298">
        <v>14</v>
      </c>
      <c r="AT753" s="298">
        <v>15</v>
      </c>
      <c r="AU753" s="298">
        <v>9</v>
      </c>
      <c r="AV753" s="298">
        <f t="shared" si="49"/>
        <v>9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2.1419999999999998E-3</v>
      </c>
      <c r="G754" s="274">
        <v>2.1419999999999998E-3</v>
      </c>
      <c r="H754" s="274">
        <v>-2.8050000000000002E-3</v>
      </c>
      <c r="I754" s="274">
        <v>3.6129999999999999E-3</v>
      </c>
      <c r="J754" s="274">
        <v>3.6129999999999999E-3</v>
      </c>
      <c r="K754" s="274">
        <v>5.5989999999999998E-3</v>
      </c>
      <c r="L754" s="274">
        <v>1.1819999999999999E-3</v>
      </c>
      <c r="M754" s="274">
        <v>-3.673E-3</v>
      </c>
      <c r="N754" s="274">
        <v>2.238E-3</v>
      </c>
      <c r="O754" s="274">
        <v>-3.4160000000000002E-3</v>
      </c>
      <c r="P754" s="274">
        <v>6.561E-3</v>
      </c>
      <c r="Q754" s="274">
        <v>-1.2664999999999999E-2</v>
      </c>
      <c r="R754" s="274">
        <v>-1.5960999999999999E-2</v>
      </c>
      <c r="S754" s="274">
        <v>2.0150000000000003E-3</v>
      </c>
      <c r="T754" s="274">
        <v>-3.081E-3</v>
      </c>
      <c r="U754" s="274">
        <v>4.2389999999999997E-3</v>
      </c>
      <c r="V754" s="274">
        <v>1.7429E-2</v>
      </c>
      <c r="W754" s="274">
        <v>9.368E-4</v>
      </c>
      <c r="X754" s="274">
        <v>-2.4069999999999999E-3</v>
      </c>
      <c r="Y754" s="274">
        <v>-2.6810000000000002E-3</v>
      </c>
      <c r="Z754" s="274">
        <f ca="1">[1]ExtEntry!$M59</f>
        <v>-2.6810000000000002E-3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2</v>
      </c>
      <c r="AJ754" s="309">
        <v>2</v>
      </c>
      <c r="AK754" s="309">
        <v>4</v>
      </c>
      <c r="AL754" s="309">
        <v>1</v>
      </c>
      <c r="AM754" s="298">
        <v>6</v>
      </c>
      <c r="AN754" s="298">
        <v>6</v>
      </c>
      <c r="AO754" s="298">
        <v>14</v>
      </c>
      <c r="AP754" s="298">
        <v>17</v>
      </c>
      <c r="AQ754" s="298">
        <v>20</v>
      </c>
      <c r="AR754" s="298">
        <v>12</v>
      </c>
      <c r="AS754" s="298">
        <v>12</v>
      </c>
      <c r="AT754" s="298">
        <v>16</v>
      </c>
      <c r="AU754" s="298">
        <v>18</v>
      </c>
      <c r="AV754" s="298">
        <f t="shared" si="49"/>
        <v>18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-5.2080000000000008E-3</v>
      </c>
      <c r="G755" s="274">
        <v>-2.7600000000000003E-3</v>
      </c>
      <c r="H755" s="274">
        <v>-7.7720000000000003E-3</v>
      </c>
      <c r="I755" s="274">
        <v>5.2359999999999993E-3</v>
      </c>
      <c r="J755" s="274">
        <v>5.2359999999999993E-3</v>
      </c>
      <c r="K755" s="274">
        <v>1.0470999999999999E-2</v>
      </c>
      <c r="L755" s="274">
        <v>2.2744770000000001</v>
      </c>
      <c r="M755" s="274">
        <v>-0.66381299999999999</v>
      </c>
      <c r="N755" s="274">
        <v>-6.6515000000000005E-2</v>
      </c>
      <c r="O755" s="274">
        <v>-4.3567000000000002E-2</v>
      </c>
      <c r="P755" s="274">
        <v>2.1277000000000001E-2</v>
      </c>
      <c r="Q755" s="274">
        <v>-2.75E-2</v>
      </c>
      <c r="R755" s="274">
        <v>-1.5913E-2</v>
      </c>
      <c r="S755" s="274">
        <v>-9.6309999999999989E-3</v>
      </c>
      <c r="T755" s="274">
        <v>-2.0718999999999998E-2</v>
      </c>
      <c r="U755" s="274">
        <v>1.7174999999999999E-2</v>
      </c>
      <c r="V755" s="274">
        <v>1.3086E-2</v>
      </c>
      <c r="W755" s="274">
        <v>-0.14583299999999999</v>
      </c>
      <c r="X755" s="274">
        <v>0</v>
      </c>
      <c r="Y755" s="274">
        <v>-1.2652000000000002E-2</v>
      </c>
      <c r="Z755" s="274">
        <f ca="1">[1]ExtEntry!$M60</f>
        <v>-1.2652000000000002E-2</v>
      </c>
      <c r="AB755" s="271">
        <v>1</v>
      </c>
      <c r="AC755" s="271">
        <v>2</v>
      </c>
      <c r="AD755" s="271">
        <v>2</v>
      </c>
      <c r="AE755" s="309">
        <v>1</v>
      </c>
      <c r="AF755" s="309">
        <v>1</v>
      </c>
      <c r="AG755" s="309">
        <v>1</v>
      </c>
      <c r="AH755" s="309">
        <v>20</v>
      </c>
      <c r="AI755" s="309">
        <v>20</v>
      </c>
      <c r="AJ755" s="309">
        <v>20</v>
      </c>
      <c r="AK755" s="309">
        <v>20</v>
      </c>
      <c r="AL755" s="309">
        <v>19</v>
      </c>
      <c r="AM755" s="298">
        <v>20</v>
      </c>
      <c r="AN755" s="298">
        <v>20</v>
      </c>
      <c r="AO755" s="298">
        <v>18</v>
      </c>
      <c r="AP755" s="298">
        <v>20</v>
      </c>
      <c r="AQ755" s="298">
        <v>15</v>
      </c>
      <c r="AR755" s="298">
        <v>13</v>
      </c>
      <c r="AS755" s="298">
        <v>20</v>
      </c>
      <c r="AT755" s="298">
        <v>19</v>
      </c>
      <c r="AU755" s="298">
        <v>20</v>
      </c>
      <c r="AV755" s="298">
        <f t="shared" si="49"/>
        <v>20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1.3514E-2</v>
      </c>
      <c r="G756" s="274">
        <v>2.735E-3</v>
      </c>
      <c r="H756" s="274">
        <v>-1.3269999999999999E-2</v>
      </c>
      <c r="I756" s="274">
        <v>9.6950000000000005E-3</v>
      </c>
      <c r="J756" s="274">
        <v>9.6950000000000005E-3</v>
      </c>
      <c r="K756" s="274">
        <v>-1.5432E-2</v>
      </c>
      <c r="L756" s="274">
        <v>-3.4923999999999997E-2</v>
      </c>
      <c r="M756" s="274">
        <v>-6.8433999999999995E-2</v>
      </c>
      <c r="N756" s="274">
        <v>0</v>
      </c>
      <c r="O756" s="274">
        <v>1.2307999999999999E-2</v>
      </c>
      <c r="P756" s="274">
        <v>7.9670000000000001E-3</v>
      </c>
      <c r="Q756" s="274">
        <v>-1.7292999999999999E-2</v>
      </c>
      <c r="R756" s="274">
        <v>4.5710000000000004E-3</v>
      </c>
      <c r="S756" s="274">
        <v>1.0602E-2</v>
      </c>
      <c r="T756" s="274">
        <v>-2.5890000000000002E-3</v>
      </c>
      <c r="U756" s="274">
        <v>1.3574999999999999E-2</v>
      </c>
      <c r="V756" s="274">
        <v>1.0417000000000001E-2</v>
      </c>
      <c r="W756" s="274">
        <v>2.7614E-2</v>
      </c>
      <c r="X756" s="274">
        <v>3.1888E-2</v>
      </c>
      <c r="Y756" s="274">
        <v>-5.9030000000000003E-3</v>
      </c>
      <c r="Z756" s="274">
        <f ca="1">[1]ExtEntry!$M61</f>
        <v>-5.9030000000000003E-3</v>
      </c>
      <c r="AB756" s="271">
        <v>2</v>
      </c>
      <c r="AC756" s="271">
        <v>1</v>
      </c>
      <c r="AD756" s="271">
        <v>1</v>
      </c>
      <c r="AE756" s="309">
        <v>4</v>
      </c>
      <c r="AF756" s="309">
        <v>4</v>
      </c>
      <c r="AG756" s="309">
        <v>8</v>
      </c>
      <c r="AH756" s="309">
        <v>10</v>
      </c>
      <c r="AI756" s="309">
        <v>16</v>
      </c>
      <c r="AJ756" s="309">
        <v>16</v>
      </c>
      <c r="AK756" s="309">
        <v>15</v>
      </c>
      <c r="AL756" s="309">
        <v>15</v>
      </c>
      <c r="AM756" s="298">
        <v>18</v>
      </c>
      <c r="AN756" s="298">
        <v>18</v>
      </c>
      <c r="AO756" s="298">
        <v>16</v>
      </c>
      <c r="AP756" s="298">
        <v>13</v>
      </c>
      <c r="AQ756" s="298">
        <v>13</v>
      </c>
      <c r="AR756" s="298">
        <v>11</v>
      </c>
      <c r="AS756" s="298">
        <v>9</v>
      </c>
      <c r="AT756" s="298">
        <v>7</v>
      </c>
      <c r="AU756" s="298">
        <v>8</v>
      </c>
      <c r="AV756" s="298">
        <f t="shared" si="49"/>
        <v>8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1.2391000000000001E-2</v>
      </c>
      <c r="F757" s="274">
        <v>7.6920000000000001E-3</v>
      </c>
      <c r="G757" s="274">
        <v>2.7760000000000003E-3</v>
      </c>
      <c r="H757" s="274">
        <v>4.1549999999999998E-3</v>
      </c>
      <c r="I757" s="274">
        <v>-6.9040000000000004E-3</v>
      </c>
      <c r="J757" s="274">
        <v>-6.9040000000000004E-3</v>
      </c>
      <c r="K757" s="274">
        <v>6.9520000000000007E-3</v>
      </c>
      <c r="L757" s="274">
        <v>-1.8301000000000001E-2</v>
      </c>
      <c r="M757" s="274">
        <v>-2.3917999999999998E-2</v>
      </c>
      <c r="N757" s="274">
        <v>-1.0809999999999999E-3</v>
      </c>
      <c r="O757" s="274">
        <v>-8.2970000000000006E-3</v>
      </c>
      <c r="P757" s="274">
        <v>-1.0789999999999999E-3</v>
      </c>
      <c r="Q757" s="274">
        <v>-8.2789999999999999E-3</v>
      </c>
      <c r="R757" s="274">
        <v>-1.9224000000000002E-2</v>
      </c>
      <c r="S757" s="274">
        <v>1.146E-2</v>
      </c>
      <c r="T757" s="274">
        <v>-2.552E-3</v>
      </c>
      <c r="U757" s="274">
        <v>-7.339E-3</v>
      </c>
      <c r="V757" s="274">
        <v>1.0721000000000001E-2</v>
      </c>
      <c r="W757" s="274">
        <v>3.6580000000000002E-3</v>
      </c>
      <c r="X757" s="274">
        <v>1.2391000000000001E-2</v>
      </c>
      <c r="Y757" s="274">
        <v>7.1989999999999999E-4</v>
      </c>
      <c r="Z757" s="274">
        <f ca="1">[1]ExtEntry!$M62</f>
        <v>7.1989999999999999E-4</v>
      </c>
      <c r="AB757" s="271">
        <v>1</v>
      </c>
      <c r="AC757" s="271">
        <v>1</v>
      </c>
      <c r="AD757" s="271">
        <v>1</v>
      </c>
      <c r="AE757" s="309">
        <v>4</v>
      </c>
      <c r="AF757" s="309">
        <v>4</v>
      </c>
      <c r="AG757" s="309">
        <v>2</v>
      </c>
      <c r="AH757" s="309">
        <v>8</v>
      </c>
      <c r="AI757" s="309">
        <v>10</v>
      </c>
      <c r="AJ757" s="309">
        <v>11</v>
      </c>
      <c r="AK757" s="309">
        <v>15</v>
      </c>
      <c r="AL757" s="309">
        <v>10</v>
      </c>
      <c r="AM757" s="298">
        <v>15</v>
      </c>
      <c r="AN757" s="298">
        <v>15</v>
      </c>
      <c r="AO757" s="298">
        <v>19</v>
      </c>
      <c r="AP757" s="298">
        <v>18</v>
      </c>
      <c r="AQ757" s="298">
        <v>19</v>
      </c>
      <c r="AR757" s="298">
        <v>18</v>
      </c>
      <c r="AS757" s="298">
        <v>15</v>
      </c>
      <c r="AT757" s="298">
        <v>9</v>
      </c>
      <c r="AU757" s="298">
        <v>8</v>
      </c>
      <c r="AV757" s="298">
        <f t="shared" si="49"/>
        <v>8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-2.5092E-2</v>
      </c>
      <c r="G758" s="274">
        <v>1.3302000000000001E-2</v>
      </c>
      <c r="H758" s="274">
        <v>1.0623E-2</v>
      </c>
      <c r="I758" s="274">
        <v>1.9889999999999999E-3</v>
      </c>
      <c r="J758" s="274">
        <v>1.9889999999999999E-3</v>
      </c>
      <c r="K758" s="274">
        <v>3.1199999999999999E-3</v>
      </c>
      <c r="L758" s="274">
        <v>-1.0358000000000001E-2</v>
      </c>
      <c r="M758" s="274">
        <v>-9.9010000000000001E-3</v>
      </c>
      <c r="N758" s="274">
        <v>-2.2859999999999998E-3</v>
      </c>
      <c r="O758" s="274">
        <v>-8.8770000000000012E-3</v>
      </c>
      <c r="P758" s="274">
        <v>9.3460000000000001E-3</v>
      </c>
      <c r="Q758" s="274">
        <v>-1.3977999999999999E-2</v>
      </c>
      <c r="R758" s="274">
        <v>-2.3580000000000003E-3</v>
      </c>
      <c r="S758" s="274">
        <v>2.3248999999999999E-2</v>
      </c>
      <c r="T758" s="274">
        <v>7.2130000000000007E-3</v>
      </c>
      <c r="U758" s="274">
        <v>2.2844000000000003E-2</v>
      </c>
      <c r="V758" s="274">
        <v>-3.0709999999999999E-3</v>
      </c>
      <c r="W758" s="274">
        <v>4.2009999999999999E-3</v>
      </c>
      <c r="X758" s="274">
        <v>-3.0669999999999998E-3</v>
      </c>
      <c r="Y758" s="274">
        <v>5.0349999999999995E-3</v>
      </c>
      <c r="Z758" s="274">
        <f ca="1">[1]ExtEntry!$M63</f>
        <v>5.0349999999999995E-3</v>
      </c>
      <c r="AB758" s="271">
        <v>20</v>
      </c>
      <c r="AC758" s="271">
        <v>19</v>
      </c>
      <c r="AD758" s="271">
        <v>19</v>
      </c>
      <c r="AE758" s="309">
        <v>17</v>
      </c>
      <c r="AF758" s="309">
        <v>16</v>
      </c>
      <c r="AG758" s="309">
        <v>15</v>
      </c>
      <c r="AH758" s="309">
        <v>15</v>
      </c>
      <c r="AI758" s="309">
        <v>19</v>
      </c>
      <c r="AJ758" s="309">
        <v>19</v>
      </c>
      <c r="AK758" s="309">
        <v>19</v>
      </c>
      <c r="AL758" s="309">
        <v>20</v>
      </c>
      <c r="AM758" s="298">
        <v>20</v>
      </c>
      <c r="AN758" s="298">
        <v>20</v>
      </c>
      <c r="AO758" s="298">
        <v>20</v>
      </c>
      <c r="AP758" s="298">
        <v>14</v>
      </c>
      <c r="AQ758" s="298">
        <v>3</v>
      </c>
      <c r="AR758" s="298">
        <v>3</v>
      </c>
      <c r="AS758" s="298">
        <v>1</v>
      </c>
      <c r="AT758" s="298">
        <v>3</v>
      </c>
      <c r="AU758" s="298">
        <v>1</v>
      </c>
      <c r="AV758" s="298">
        <f t="shared" si="49"/>
        <v>1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1.9625E-2</v>
      </c>
      <c r="F759" s="274">
        <v>2.7200000000000002E-3</v>
      </c>
      <c r="G759" s="274">
        <v>-3.9639999999999996E-3</v>
      </c>
      <c r="H759" s="274">
        <v>-2.3210000000000001E-3</v>
      </c>
      <c r="I759" s="274">
        <v>1.0560000000000001E-3</v>
      </c>
      <c r="J759" s="274">
        <v>1.0560000000000001E-3</v>
      </c>
      <c r="K759" s="274">
        <v>-1.3297000000000002E-2</v>
      </c>
      <c r="L759" s="274">
        <v>1.72E-3</v>
      </c>
      <c r="M759" s="274">
        <v>-4.9359999999999994E-3</v>
      </c>
      <c r="N759" s="274">
        <v>1.9625E-2</v>
      </c>
      <c r="O759" s="274">
        <v>-2.1149999999999999E-4</v>
      </c>
      <c r="P759" s="274">
        <v>7.5529999999999998E-3</v>
      </c>
      <c r="Q759" s="274">
        <v>-2.6080000000000002E-2</v>
      </c>
      <c r="R759" s="274">
        <v>1.4081E-2</v>
      </c>
      <c r="S759" s="274">
        <v>1.3183E-2</v>
      </c>
      <c r="T759" s="274">
        <v>-4.7169999999999998E-3</v>
      </c>
      <c r="U759" s="274">
        <v>9.639E-3</v>
      </c>
      <c r="V759" s="274">
        <v>-6.5089999999999994E-4</v>
      </c>
      <c r="W759" s="274">
        <v>-2.8658000000000003E-2</v>
      </c>
      <c r="X759" s="274">
        <v>-1.7434000000000002E-2</v>
      </c>
      <c r="Y759" s="274">
        <v>5.004999999999999E-3</v>
      </c>
      <c r="Z759" s="274">
        <f ca="1">[1]ExtEntry!$M64</f>
        <v>5.004999999999999E-3</v>
      </c>
      <c r="AB759" s="271">
        <v>19</v>
      </c>
      <c r="AC759" s="271">
        <v>19</v>
      </c>
      <c r="AD759" s="271">
        <v>19</v>
      </c>
      <c r="AE759" s="309">
        <v>18</v>
      </c>
      <c r="AF759" s="309">
        <v>17</v>
      </c>
      <c r="AG759" s="309">
        <v>19</v>
      </c>
      <c r="AH759" s="309">
        <v>19</v>
      </c>
      <c r="AI759" s="309">
        <v>20</v>
      </c>
      <c r="AJ759" s="309">
        <v>16</v>
      </c>
      <c r="AK759" s="309">
        <v>16</v>
      </c>
      <c r="AL759" s="309">
        <v>17</v>
      </c>
      <c r="AM759" s="298">
        <v>20</v>
      </c>
      <c r="AN759" s="298">
        <v>20</v>
      </c>
      <c r="AO759" s="298">
        <v>19</v>
      </c>
      <c r="AP759" s="298">
        <v>16</v>
      </c>
      <c r="AQ759" s="298">
        <v>18</v>
      </c>
      <c r="AR759" s="298">
        <v>19</v>
      </c>
      <c r="AS759" s="298">
        <v>20</v>
      </c>
      <c r="AT759" s="298">
        <v>20</v>
      </c>
      <c r="AU759" s="298">
        <v>19</v>
      </c>
      <c r="AV759" s="298">
        <f t="shared" si="49"/>
        <v>19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-2.0915E-2</v>
      </c>
      <c r="G760" s="274">
        <v>2.0027E-2</v>
      </c>
      <c r="H760" s="274">
        <v>-1.7016E-2</v>
      </c>
      <c r="I760" s="274">
        <v>-6.6140000000000001E-3</v>
      </c>
      <c r="J760" s="274">
        <v>-6.6140000000000001E-3</v>
      </c>
      <c r="K760" s="274">
        <v>2.663E-3</v>
      </c>
      <c r="L760" s="274">
        <v>2.8036999999999999E-2</v>
      </c>
      <c r="M760" s="274">
        <v>-2.5974000000000001E-2</v>
      </c>
      <c r="N760" s="274">
        <v>-1.0666999999999999E-2</v>
      </c>
      <c r="O760" s="274">
        <v>1.6173E-2</v>
      </c>
      <c r="P760" s="274">
        <v>-1.7473000000000002E-2</v>
      </c>
      <c r="Q760" s="274">
        <v>-3.4200000000000001E-2</v>
      </c>
      <c r="R760" s="274">
        <v>1.4164000000000001E-2</v>
      </c>
      <c r="S760" s="274">
        <v>7.0320000000000001E-3</v>
      </c>
      <c r="T760" s="274">
        <v>2.2345999999999998E-2</v>
      </c>
      <c r="U760" s="274">
        <v>-7.0520000000000001E-3</v>
      </c>
      <c r="V760" s="274">
        <v>1.1364000000000001E-2</v>
      </c>
      <c r="W760" s="274">
        <v>1.8258E-2</v>
      </c>
      <c r="X760" s="274">
        <v>-2.4828000000000003E-2</v>
      </c>
      <c r="Y760" s="274">
        <v>2.5459999999999997E-2</v>
      </c>
      <c r="Z760" s="274">
        <f ca="1">[1]ExtEntry!$M65</f>
        <v>2.5459999999999997E-2</v>
      </c>
      <c r="AB760" s="271">
        <v>2</v>
      </c>
      <c r="AC760" s="271">
        <v>3</v>
      </c>
      <c r="AD760" s="271">
        <v>3</v>
      </c>
      <c r="AE760" s="309">
        <v>4</v>
      </c>
      <c r="AF760" s="309">
        <v>4</v>
      </c>
      <c r="AG760" s="309">
        <v>4</v>
      </c>
      <c r="AH760" s="309">
        <v>2</v>
      </c>
      <c r="AI760" s="309">
        <v>9</v>
      </c>
      <c r="AJ760" s="309">
        <v>13</v>
      </c>
      <c r="AK760" s="309">
        <v>5</v>
      </c>
      <c r="AL760" s="309">
        <v>14</v>
      </c>
      <c r="AM760" s="298">
        <v>20</v>
      </c>
      <c r="AN760" s="298">
        <v>20</v>
      </c>
      <c r="AO760" s="298">
        <v>16</v>
      </c>
      <c r="AP760" s="298">
        <v>13</v>
      </c>
      <c r="AQ760" s="298">
        <v>20</v>
      </c>
      <c r="AR760" s="298">
        <v>17</v>
      </c>
      <c r="AS760" s="298">
        <v>15</v>
      </c>
      <c r="AT760" s="298">
        <v>18</v>
      </c>
      <c r="AU760" s="298">
        <v>13</v>
      </c>
      <c r="AV760" s="298">
        <f t="shared" si="49"/>
        <v>13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-4.9290000000000002E-3</v>
      </c>
      <c r="G761" s="274">
        <v>-6.6159999999999995E-3</v>
      </c>
      <c r="H761" s="274">
        <v>-2.5040000000000001E-3</v>
      </c>
      <c r="I761" s="274">
        <v>-3.3350000000000003E-3</v>
      </c>
      <c r="J761" s="274">
        <v>-3.3350000000000003E-3</v>
      </c>
      <c r="K761" s="274">
        <v>-1.9734999999999999E-2</v>
      </c>
      <c r="L761" s="274">
        <v>-2.6340000000000001E-3</v>
      </c>
      <c r="M761" s="274">
        <v>9.4649999999999995E-3</v>
      </c>
      <c r="N761" s="274">
        <v>5.1459999999999995E-3</v>
      </c>
      <c r="O761" s="274">
        <v>3.9480000000000001E-3</v>
      </c>
      <c r="P761" s="274">
        <v>-1.8060000000000001E-3</v>
      </c>
      <c r="Q761" s="274">
        <v>-1.9643999999999998E-2</v>
      </c>
      <c r="R761" s="274">
        <v>2.8188000000000001E-2</v>
      </c>
      <c r="S761" s="274">
        <v>3.8089999999999999E-2</v>
      </c>
      <c r="T761" s="274">
        <v>5.4930000000000005E-3</v>
      </c>
      <c r="U761" s="274">
        <v>-7.5509999999999996E-3</v>
      </c>
      <c r="V761" s="274">
        <v>-1.4839E-2</v>
      </c>
      <c r="W761" s="274">
        <v>-3.2259000000000003E-2</v>
      </c>
      <c r="X761" s="274">
        <v>1.5939999999999999E-2</v>
      </c>
      <c r="Y761" s="274">
        <v>1.7562999999999999E-2</v>
      </c>
      <c r="Z761" s="274">
        <f ca="1">[1]ExtEntry!$M66</f>
        <v>1.7562999999999999E-2</v>
      </c>
      <c r="AB761" s="271">
        <v>1</v>
      </c>
      <c r="AC761" s="271">
        <v>3</v>
      </c>
      <c r="AD761" s="271">
        <v>3</v>
      </c>
      <c r="AE761" s="309">
        <v>5</v>
      </c>
      <c r="AF761" s="309">
        <v>5</v>
      </c>
      <c r="AG761" s="309">
        <v>8</v>
      </c>
      <c r="AH761" s="309">
        <v>8</v>
      </c>
      <c r="AI761" s="309">
        <v>8</v>
      </c>
      <c r="AJ761" s="309">
        <v>5</v>
      </c>
      <c r="AK761" s="309">
        <v>3</v>
      </c>
      <c r="AL761" s="309">
        <v>3</v>
      </c>
      <c r="AM761" s="298">
        <v>12</v>
      </c>
      <c r="AN761" s="298">
        <v>12</v>
      </c>
      <c r="AO761" s="298">
        <v>1</v>
      </c>
      <c r="AP761" s="298">
        <v>1</v>
      </c>
      <c r="AQ761" s="298">
        <v>3</v>
      </c>
      <c r="AR761" s="298">
        <v>5</v>
      </c>
      <c r="AS761" s="298">
        <v>19</v>
      </c>
      <c r="AT761" s="298">
        <v>13</v>
      </c>
      <c r="AU761" s="298">
        <v>6</v>
      </c>
      <c r="AV761" s="298">
        <f t="shared" si="49"/>
        <v>6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2.8469999999999999E-2</v>
      </c>
      <c r="G762" s="274">
        <v>2.5979999999999996E-3</v>
      </c>
      <c r="H762" s="274">
        <v>-3.5930000000000003E-3</v>
      </c>
      <c r="I762" s="274">
        <v>-1.7236000000000001E-2</v>
      </c>
      <c r="J762" s="274">
        <v>-1.7236000000000001E-2</v>
      </c>
      <c r="K762" s="274">
        <v>-1.8420000000000002E-2</v>
      </c>
      <c r="L762" s="274">
        <v>-3.9329999999999999E-3</v>
      </c>
      <c r="M762" s="274">
        <v>3.3779999999999999E-3</v>
      </c>
      <c r="N762" s="274">
        <v>1.7929999999999999E-3</v>
      </c>
      <c r="O762" s="274">
        <v>1.4958000000000001E-2</v>
      </c>
      <c r="P762" s="274">
        <v>-1.1226E-2</v>
      </c>
      <c r="Q762" s="274">
        <v>-2.8938999999999999E-2</v>
      </c>
      <c r="R762" s="274">
        <v>2.8399999999999996E-3</v>
      </c>
      <c r="S762" s="274">
        <v>2.885E-3</v>
      </c>
      <c r="T762" s="274">
        <v>4.2877999999999999E-2</v>
      </c>
      <c r="U762" s="274">
        <v>1.5108E-2</v>
      </c>
      <c r="V762" s="274">
        <v>1.0176000000000001E-2</v>
      </c>
      <c r="W762" s="274">
        <v>-3.3201999999999995E-2</v>
      </c>
      <c r="X762" s="274">
        <v>-8.0320000000000001E-4</v>
      </c>
      <c r="Y762" s="274">
        <v>-7.8279999999999999E-3</v>
      </c>
      <c r="Z762" s="274">
        <f ca="1">[1]ExtEntry!$M67</f>
        <v>-7.8279999999999999E-3</v>
      </c>
      <c r="AB762" s="271">
        <v>11</v>
      </c>
      <c r="AC762" s="271">
        <v>4</v>
      </c>
      <c r="AD762" s="271">
        <v>4</v>
      </c>
      <c r="AE762" s="309">
        <v>13</v>
      </c>
      <c r="AF762" s="309">
        <v>13</v>
      </c>
      <c r="AG762" s="309">
        <v>15</v>
      </c>
      <c r="AH762" s="309">
        <v>11</v>
      </c>
      <c r="AI762" s="309">
        <v>9</v>
      </c>
      <c r="AJ762" s="309">
        <v>9</v>
      </c>
      <c r="AK762" s="309">
        <v>3</v>
      </c>
      <c r="AL762" s="309">
        <v>9</v>
      </c>
      <c r="AM762" s="298">
        <v>15</v>
      </c>
      <c r="AN762" s="298">
        <v>15</v>
      </c>
      <c r="AO762" s="298">
        <v>12</v>
      </c>
      <c r="AP762" s="298">
        <v>1</v>
      </c>
      <c r="AQ762" s="298">
        <v>1</v>
      </c>
      <c r="AR762" s="298">
        <v>1</v>
      </c>
      <c r="AS762" s="298">
        <v>7</v>
      </c>
      <c r="AT762" s="298">
        <v>9</v>
      </c>
      <c r="AU762" s="298">
        <v>13</v>
      </c>
      <c r="AV762" s="298">
        <f t="shared" ref="AV762:AV790" si="50">_xlfn.RANK.EQ(Y267,F267:Y267)</f>
        <v>13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3.5899999999999999E-3</v>
      </c>
      <c r="G763" s="274">
        <v>-9.333000000000001E-3</v>
      </c>
      <c r="H763" s="274">
        <v>-1.7280000000000002E-3</v>
      </c>
      <c r="I763" s="274">
        <v>5.6359999999999995E-3</v>
      </c>
      <c r="J763" s="274">
        <v>5.6359999999999995E-3</v>
      </c>
      <c r="K763" s="274">
        <v>-6.3829999999999998E-3</v>
      </c>
      <c r="L763" s="274">
        <v>7.7380000000000005E-4</v>
      </c>
      <c r="M763" s="274">
        <v>6.0309999999999999E-3</v>
      </c>
      <c r="N763" s="274">
        <v>1.4756E-2</v>
      </c>
      <c r="O763" s="274">
        <v>-8.6339999999999993E-3</v>
      </c>
      <c r="P763" s="274">
        <v>-1.2570000000000001E-3</v>
      </c>
      <c r="Q763" s="274">
        <v>-3.0026999999999998E-2</v>
      </c>
      <c r="R763" s="274">
        <v>2.0900999999999999E-2</v>
      </c>
      <c r="S763" s="274">
        <v>1.2954E-2</v>
      </c>
      <c r="T763" s="274">
        <v>2.3008000000000001E-2</v>
      </c>
      <c r="U763" s="274">
        <v>2.4841000000000002E-2</v>
      </c>
      <c r="V763" s="274">
        <v>9.7549999999999998E-3</v>
      </c>
      <c r="W763" s="274">
        <v>-4.3909999999999999E-3</v>
      </c>
      <c r="X763" s="274">
        <v>8.5269999999999999E-3</v>
      </c>
      <c r="Y763" s="274">
        <v>5.5389999999999997E-3</v>
      </c>
      <c r="Z763" s="274">
        <f ca="1">[1]ExtEntry!$M68</f>
        <v>5.5389999999999997E-3</v>
      </c>
      <c r="AB763" s="271">
        <v>4</v>
      </c>
      <c r="AC763" s="271">
        <v>5</v>
      </c>
      <c r="AD763" s="271">
        <v>5</v>
      </c>
      <c r="AE763" s="309">
        <v>2</v>
      </c>
      <c r="AF763" s="309">
        <v>2</v>
      </c>
      <c r="AG763" s="309">
        <v>5</v>
      </c>
      <c r="AH763" s="309">
        <v>1</v>
      </c>
      <c r="AI763" s="309">
        <v>1</v>
      </c>
      <c r="AJ763" s="309">
        <v>1</v>
      </c>
      <c r="AK763" s="309">
        <v>2</v>
      </c>
      <c r="AL763" s="309">
        <v>11</v>
      </c>
      <c r="AM763" s="298">
        <v>15</v>
      </c>
      <c r="AN763" s="298">
        <v>15</v>
      </c>
      <c r="AO763" s="298">
        <v>14</v>
      </c>
      <c r="AP763" s="298">
        <v>1</v>
      </c>
      <c r="AQ763" s="298">
        <v>1</v>
      </c>
      <c r="AR763" s="298">
        <v>1</v>
      </c>
      <c r="AS763" s="298">
        <v>2</v>
      </c>
      <c r="AT763" s="298">
        <v>1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-0.11588</v>
      </c>
      <c r="G764" s="274">
        <v>4.7850000000000004E-5</v>
      </c>
      <c r="H764" s="274">
        <v>-1.9512000000000002E-2</v>
      </c>
      <c r="I764" s="274">
        <v>-5.0239000000000006E-2</v>
      </c>
      <c r="J764" s="274">
        <v>-5.0239000000000006E-2</v>
      </c>
      <c r="K764" s="274">
        <v>0</v>
      </c>
      <c r="L764" s="274">
        <v>3.5714000000000003E-2</v>
      </c>
      <c r="M764" s="274">
        <v>-1.6055E-2</v>
      </c>
      <c r="N764" s="274">
        <v>0.193023</v>
      </c>
      <c r="O764" s="274">
        <v>-5.3047000000000004E-2</v>
      </c>
      <c r="P764" s="274">
        <v>-4.5643000000000003E-2</v>
      </c>
      <c r="Q764" s="274">
        <v>-4.1304E-2</v>
      </c>
      <c r="R764" s="274">
        <v>-2.7385000000000003E-2</v>
      </c>
      <c r="S764" s="274">
        <v>-5.9633000000000005E-2</v>
      </c>
      <c r="T764" s="274">
        <v>0</v>
      </c>
      <c r="U764" s="274">
        <v>2.3584999999999998E-2</v>
      </c>
      <c r="V764" s="274">
        <v>-3.2258000000000002E-2</v>
      </c>
      <c r="W764" s="274">
        <v>9.5239999999999995E-3</v>
      </c>
      <c r="X764" s="274">
        <v>6.1321000000000001E-2</v>
      </c>
      <c r="Y764" s="274">
        <v>-1.1110999999999999E-2</v>
      </c>
      <c r="Z764" s="274">
        <f ca="1">[1]ExtEntry!$M69</f>
        <v>-1.1110999999999999E-2</v>
      </c>
      <c r="AB764" s="271">
        <v>2</v>
      </c>
      <c r="AC764" s="271">
        <v>3</v>
      </c>
      <c r="AD764" s="271">
        <v>3</v>
      </c>
      <c r="AE764" s="309">
        <v>6</v>
      </c>
      <c r="AF764" s="309">
        <v>6</v>
      </c>
      <c r="AG764" s="309">
        <v>8</v>
      </c>
      <c r="AH764" s="309">
        <v>3</v>
      </c>
      <c r="AI764" s="309">
        <v>4</v>
      </c>
      <c r="AJ764" s="309">
        <v>1</v>
      </c>
      <c r="AK764" s="309">
        <v>2</v>
      </c>
      <c r="AL764" s="309">
        <v>3</v>
      </c>
      <c r="AM764" s="298">
        <v>5</v>
      </c>
      <c r="AN764" s="298">
        <v>5</v>
      </c>
      <c r="AO764" s="298">
        <v>9</v>
      </c>
      <c r="AP764" s="298">
        <v>12</v>
      </c>
      <c r="AQ764" s="298">
        <v>8</v>
      </c>
      <c r="AR764" s="298">
        <v>11</v>
      </c>
      <c r="AS764" s="298">
        <v>11</v>
      </c>
      <c r="AT764" s="298">
        <v>4</v>
      </c>
      <c r="AU764" s="298">
        <v>5</v>
      </c>
      <c r="AV764" s="298">
        <f t="shared" si="50"/>
        <v>5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1.2182999999999999E-2</v>
      </c>
      <c r="F765" s="274">
        <v>-3.7290000000000001E-3</v>
      </c>
      <c r="G765" s="274">
        <v>5.5889999999999998E-4</v>
      </c>
      <c r="H765" s="274">
        <v>8.2760000000000004E-3</v>
      </c>
      <c r="I765" s="274">
        <v>-3.4749999999999998E-3</v>
      </c>
      <c r="J765" s="274">
        <v>-3.4749999999999998E-3</v>
      </c>
      <c r="K765" s="274">
        <v>6.7949999999999998E-3</v>
      </c>
      <c r="L765" s="274">
        <v>-9.4230000000000008E-3</v>
      </c>
      <c r="M765" s="274">
        <v>-5.0969999999999998E-4</v>
      </c>
      <c r="N765" s="274">
        <v>3.5699999999999998E-3</v>
      </c>
      <c r="O765" s="274">
        <v>-8.5529999999999998E-3</v>
      </c>
      <c r="P765" s="274">
        <v>6.2900000000000005E-3</v>
      </c>
      <c r="Q765" s="274">
        <v>-1.3431E-2</v>
      </c>
      <c r="R765" s="274">
        <v>-1.3782000000000001E-2</v>
      </c>
      <c r="S765" s="274">
        <v>-7.5249999999999996E-3</v>
      </c>
      <c r="T765" s="274">
        <v>1.2182999999999999E-2</v>
      </c>
      <c r="U765" s="274">
        <v>7.8869999999999999E-3</v>
      </c>
      <c r="V765" s="274">
        <v>-1.2454E-2</v>
      </c>
      <c r="W765" s="274">
        <v>-1.3206000000000001E-2</v>
      </c>
      <c r="X765" s="274">
        <v>1.1701999999999999E-2</v>
      </c>
      <c r="Y765" s="274">
        <v>-9.4809999999999998E-3</v>
      </c>
      <c r="Z765" s="274">
        <f ca="1">[1]ExtEntry!$M70</f>
        <v>-9.4809999999999998E-3</v>
      </c>
      <c r="AB765" s="271">
        <v>19</v>
      </c>
      <c r="AC765" s="271">
        <v>17</v>
      </c>
      <c r="AD765" s="271">
        <v>17</v>
      </c>
      <c r="AE765" s="309">
        <v>18</v>
      </c>
      <c r="AF765" s="309">
        <v>17</v>
      </c>
      <c r="AG765" s="309">
        <v>11</v>
      </c>
      <c r="AH765" s="309">
        <v>10</v>
      </c>
      <c r="AI765" s="309">
        <v>10</v>
      </c>
      <c r="AJ765" s="309">
        <v>8</v>
      </c>
      <c r="AK765" s="309">
        <v>10</v>
      </c>
      <c r="AL765" s="309">
        <v>6</v>
      </c>
      <c r="AM765" s="298">
        <v>11</v>
      </c>
      <c r="AN765" s="298">
        <v>11</v>
      </c>
      <c r="AO765" s="298">
        <v>11</v>
      </c>
      <c r="AP765" s="298">
        <v>1</v>
      </c>
      <c r="AQ765" s="298">
        <v>1</v>
      </c>
      <c r="AR765" s="298">
        <v>9</v>
      </c>
      <c r="AS765" s="298">
        <v>18</v>
      </c>
      <c r="AT765" s="298">
        <v>9</v>
      </c>
      <c r="AU765" s="298">
        <v>19</v>
      </c>
      <c r="AV765" s="298">
        <f t="shared" si="50"/>
        <v>19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2.3543999999999999E-2</v>
      </c>
      <c r="F766" s="274">
        <v>3.2390000000000001E-3</v>
      </c>
      <c r="G766" s="274">
        <v>1.9500000000000001E-3</v>
      </c>
      <c r="H766" s="274">
        <v>7.5120000000000004E-4</v>
      </c>
      <c r="I766" s="274">
        <v>1.2982E-2</v>
      </c>
      <c r="J766" s="274">
        <v>1.2982E-2</v>
      </c>
      <c r="K766" s="274">
        <v>-4.5570000000000003E-3</v>
      </c>
      <c r="L766" s="274">
        <v>-1.6280000000000001E-3</v>
      </c>
      <c r="M766" s="274">
        <v>8.9219999999999994E-3</v>
      </c>
      <c r="N766" s="274">
        <v>-1.0199999999999999E-3</v>
      </c>
      <c r="O766" s="274">
        <v>-1.2766E-2</v>
      </c>
      <c r="P766" s="274">
        <v>1.7100000000000001E-3</v>
      </c>
      <c r="Q766" s="274">
        <v>-8.7050000000000009E-3</v>
      </c>
      <c r="R766" s="274">
        <v>-4.4419999999999998E-3</v>
      </c>
      <c r="S766" s="274">
        <v>-1.3325999999999999E-2</v>
      </c>
      <c r="T766" s="274">
        <v>6.9259999999999999E-3</v>
      </c>
      <c r="U766" s="274">
        <v>-5.1479999999999994E-4</v>
      </c>
      <c r="V766" s="274">
        <v>-3.0930000000000003E-3</v>
      </c>
      <c r="W766" s="274">
        <v>-1.1464E-2</v>
      </c>
      <c r="X766" s="274">
        <v>2.3543999999999999E-2</v>
      </c>
      <c r="Y766" s="274">
        <v>-3.4920000000000003E-3</v>
      </c>
      <c r="Z766" s="274">
        <f ca="1">[1]ExtEntry!$M71</f>
        <v>-3.4920000000000003E-3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3</v>
      </c>
      <c r="AH766" s="309">
        <v>1</v>
      </c>
      <c r="AI766" s="309">
        <v>1</v>
      </c>
      <c r="AJ766" s="309">
        <v>2</v>
      </c>
      <c r="AK766" s="309">
        <v>4</v>
      </c>
      <c r="AL766" s="309">
        <v>3</v>
      </c>
      <c r="AM766" s="298">
        <v>5</v>
      </c>
      <c r="AN766" s="298">
        <v>5</v>
      </c>
      <c r="AO766" s="298">
        <v>5</v>
      </c>
      <c r="AP766" s="298">
        <v>6</v>
      </c>
      <c r="AQ766" s="298">
        <v>6</v>
      </c>
      <c r="AR766" s="298">
        <v>9</v>
      </c>
      <c r="AS766" s="298">
        <v>12</v>
      </c>
      <c r="AT766" s="298">
        <v>3</v>
      </c>
      <c r="AU766" s="298">
        <v>5</v>
      </c>
      <c r="AV766" s="298">
        <f t="shared" si="50"/>
        <v>5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-1.041E-3</v>
      </c>
      <c r="G767" s="274">
        <v>5.2080000000000008E-3</v>
      </c>
      <c r="H767" s="274">
        <v>3.6129999999999999E-3</v>
      </c>
      <c r="I767" s="274">
        <v>0.01</v>
      </c>
      <c r="J767" s="274">
        <v>0.01</v>
      </c>
      <c r="K767" s="274">
        <v>-1.5486E-2</v>
      </c>
      <c r="L767" s="274">
        <v>2.281E-2</v>
      </c>
      <c r="M767" s="274">
        <v>-5.0680000000000005E-3</v>
      </c>
      <c r="N767" s="274">
        <v>-2.0376999999999999E-2</v>
      </c>
      <c r="O767" s="274">
        <v>1.2741000000000001E-2</v>
      </c>
      <c r="P767" s="274">
        <v>2.0152E-2</v>
      </c>
      <c r="Q767" s="274">
        <v>-3.9634000000000003E-2</v>
      </c>
      <c r="R767" s="274">
        <v>2.6480999999999998E-2</v>
      </c>
      <c r="S767" s="274">
        <v>-7.6730000000000006E-4</v>
      </c>
      <c r="T767" s="274">
        <v>2.0509999999999999E-3</v>
      </c>
      <c r="U767" s="274">
        <v>8.9580000000000007E-3</v>
      </c>
      <c r="V767" s="274">
        <v>9.3860000000000002E-3</v>
      </c>
      <c r="W767" s="274">
        <v>-4.0714E-2</v>
      </c>
      <c r="X767" s="274">
        <v>1.572E-3</v>
      </c>
      <c r="Y767" s="274">
        <v>-7.8469999999999994E-4</v>
      </c>
      <c r="Z767" s="274">
        <f ca="1">[1]ExtEntry!$M72</f>
        <v>-7.8469999999999994E-4</v>
      </c>
      <c r="AB767" s="271">
        <v>2</v>
      </c>
      <c r="AC767" s="271">
        <v>1</v>
      </c>
      <c r="AD767" s="271">
        <v>1</v>
      </c>
      <c r="AE767" s="309">
        <v>1</v>
      </c>
      <c r="AF767" s="309">
        <v>1</v>
      </c>
      <c r="AG767" s="309">
        <v>4</v>
      </c>
      <c r="AH767" s="309">
        <v>1</v>
      </c>
      <c r="AI767" s="309">
        <v>4</v>
      </c>
      <c r="AJ767" s="309">
        <v>9</v>
      </c>
      <c r="AK767" s="309">
        <v>5</v>
      </c>
      <c r="AL767" s="309">
        <v>5</v>
      </c>
      <c r="AM767" s="298">
        <v>16</v>
      </c>
      <c r="AN767" s="298">
        <v>16</v>
      </c>
      <c r="AO767" s="298">
        <v>5</v>
      </c>
      <c r="AP767" s="298">
        <v>6</v>
      </c>
      <c r="AQ767" s="298">
        <v>2</v>
      </c>
      <c r="AR767" s="298">
        <v>1</v>
      </c>
      <c r="AS767" s="298">
        <v>19</v>
      </c>
      <c r="AT767" s="298">
        <v>18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-7.4045E-2</v>
      </c>
      <c r="D768" s="735">
        <f ca="1">MAX(Tab1ChangePercent[#This Row])</f>
        <v>4.4015000000000006E-2</v>
      </c>
      <c r="F768" s="274">
        <v>-1.0045E-2</v>
      </c>
      <c r="G768" s="274">
        <v>4.2337999999999994E-2</v>
      </c>
      <c r="H768" s="274">
        <v>5.3530000000000006E-4</v>
      </c>
      <c r="I768" s="274">
        <v>-5.5179999999999995E-3</v>
      </c>
      <c r="J768" s="274">
        <v>-5.5179999999999995E-3</v>
      </c>
      <c r="K768" s="274">
        <v>-3.6545999999999995E-2</v>
      </c>
      <c r="L768" s="274">
        <v>-6.5265000000000004E-2</v>
      </c>
      <c r="M768" s="274">
        <v>-2.4458000000000001E-2</v>
      </c>
      <c r="N768" s="274">
        <v>1.4962E-2</v>
      </c>
      <c r="O768" s="274">
        <v>-2.6095999999999998E-2</v>
      </c>
      <c r="P768" s="274">
        <v>-1.5528999999999999E-2</v>
      </c>
      <c r="Q768" s="274">
        <v>-2.5322000000000001E-2</v>
      </c>
      <c r="R768" s="274">
        <v>3.7209999999999999E-3</v>
      </c>
      <c r="S768" s="274">
        <v>-5.7879999999999997E-3</v>
      </c>
      <c r="T768" s="274">
        <v>9.5630000000000003E-3</v>
      </c>
      <c r="U768" s="274">
        <v>-1.2331000000000002E-2</v>
      </c>
      <c r="V768" s="274">
        <v>-1.4499E-2</v>
      </c>
      <c r="W768" s="274">
        <v>-6.5390000000000005E-3</v>
      </c>
      <c r="X768" s="274">
        <v>4.4015000000000006E-2</v>
      </c>
      <c r="Y768" s="274">
        <v>-7.4045E-2</v>
      </c>
      <c r="Z768" s="274">
        <f ca="1">[1]ExtEntry!$M73</f>
        <v>-7.4045E-2</v>
      </c>
      <c r="AB768" s="271">
        <v>19</v>
      </c>
      <c r="AC768" s="271">
        <v>14</v>
      </c>
      <c r="AD768" s="271">
        <v>14</v>
      </c>
      <c r="AE768" s="309">
        <v>13</v>
      </c>
      <c r="AF768" s="309">
        <v>12</v>
      </c>
      <c r="AG768" s="309">
        <v>17</v>
      </c>
      <c r="AH768" s="309">
        <v>20</v>
      </c>
      <c r="AI768" s="309">
        <v>20</v>
      </c>
      <c r="AJ768" s="309">
        <v>19</v>
      </c>
      <c r="AK768" s="309">
        <v>20</v>
      </c>
      <c r="AL768" s="309">
        <v>20</v>
      </c>
      <c r="AM768" s="298">
        <v>20</v>
      </c>
      <c r="AN768" s="298">
        <v>20</v>
      </c>
      <c r="AO768" s="298">
        <v>18</v>
      </c>
      <c r="AP768" s="298">
        <v>16</v>
      </c>
      <c r="AQ768" s="298">
        <v>13</v>
      </c>
      <c r="AR768" s="298">
        <v>14</v>
      </c>
      <c r="AS768" s="298">
        <v>15</v>
      </c>
      <c r="AT768" s="298">
        <v>8</v>
      </c>
      <c r="AU768" s="298">
        <v>19</v>
      </c>
      <c r="AV768" s="298">
        <f t="shared" si="50"/>
        <v>19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0.10177</v>
      </c>
      <c r="F769" s="274">
        <v>-2.7524000000000003E-2</v>
      </c>
      <c r="G769" s="274">
        <v>1.7304E-2</v>
      </c>
      <c r="H769" s="274">
        <v>8.5097000000000006E-2</v>
      </c>
      <c r="I769" s="274">
        <v>-9.6892999999999993E-2</v>
      </c>
      <c r="J769" s="274">
        <v>-9.6892999999999993E-2</v>
      </c>
      <c r="K769" s="274">
        <v>-1.2794000000000002E-2</v>
      </c>
      <c r="L769" s="274">
        <v>3.0928000000000001E-2</v>
      </c>
      <c r="M769" s="274">
        <v>0.01</v>
      </c>
      <c r="N769" s="274">
        <v>2.9703E-2</v>
      </c>
      <c r="O769" s="274">
        <v>1.4422999999999998E-2</v>
      </c>
      <c r="P769" s="274">
        <v>-3.2787000000000004E-2</v>
      </c>
      <c r="Q769" s="274">
        <v>-5.5084999999999995E-2</v>
      </c>
      <c r="R769" s="274">
        <v>3.1817999999999999E-2</v>
      </c>
      <c r="S769" s="274">
        <v>-9.0910000000000001E-3</v>
      </c>
      <c r="T769" s="274">
        <v>-6.4219999999999999E-2</v>
      </c>
      <c r="U769" s="274">
        <v>7.8431000000000001E-2</v>
      </c>
      <c r="V769" s="274">
        <v>3.6364E-2</v>
      </c>
      <c r="W769" s="274">
        <v>-8.7720000000000003E-3</v>
      </c>
      <c r="X769" s="274">
        <v>0.10177</v>
      </c>
      <c r="Y769" s="274">
        <v>7.2000000000000008E-2</v>
      </c>
      <c r="Z769" s="274">
        <f ca="1">[1]ExtEntry!$M74</f>
        <v>7.2000000000000008E-2</v>
      </c>
      <c r="AB769" s="271">
        <v>19</v>
      </c>
      <c r="AC769" s="271">
        <v>12</v>
      </c>
      <c r="AD769" s="271">
        <v>12</v>
      </c>
      <c r="AE769" s="309">
        <v>18</v>
      </c>
      <c r="AF769" s="309">
        <v>17</v>
      </c>
      <c r="AG769" s="309">
        <v>18</v>
      </c>
      <c r="AH769" s="309">
        <v>7</v>
      </c>
      <c r="AI769" s="309">
        <v>6</v>
      </c>
      <c r="AJ769" s="309">
        <v>4</v>
      </c>
      <c r="AK769" s="309">
        <v>3</v>
      </c>
      <c r="AL769" s="309">
        <v>1</v>
      </c>
      <c r="AM769" s="298">
        <v>2</v>
      </c>
      <c r="AN769" s="298">
        <v>2</v>
      </c>
      <c r="AO769" s="298">
        <v>2</v>
      </c>
      <c r="AP769" s="298">
        <v>8</v>
      </c>
      <c r="AQ769" s="298">
        <v>4</v>
      </c>
      <c r="AR769" s="298">
        <v>2</v>
      </c>
      <c r="AS769" s="298">
        <v>4</v>
      </c>
      <c r="AT769" s="298">
        <v>1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2.1419999999999998E-3</v>
      </c>
      <c r="G770" s="274">
        <v>2.1419999999999998E-3</v>
      </c>
      <c r="H770" s="274">
        <v>-2.8050000000000002E-3</v>
      </c>
      <c r="I770" s="274">
        <v>3.6129999999999999E-3</v>
      </c>
      <c r="J770" s="274">
        <v>3.6129999999999999E-3</v>
      </c>
      <c r="K770" s="274">
        <v>5.5989999999999998E-3</v>
      </c>
      <c r="L770" s="274">
        <v>1.1819999999999999E-3</v>
      </c>
      <c r="M770" s="274">
        <v>-3.673E-3</v>
      </c>
      <c r="N770" s="274">
        <v>2.238E-3</v>
      </c>
      <c r="O770" s="274">
        <v>-3.4160000000000002E-3</v>
      </c>
      <c r="P770" s="274">
        <v>6.561E-3</v>
      </c>
      <c r="Q770" s="274">
        <v>-1.2664999999999999E-2</v>
      </c>
      <c r="R770" s="274">
        <v>-1.5960999999999999E-2</v>
      </c>
      <c r="S770" s="274">
        <v>2.0150000000000003E-3</v>
      </c>
      <c r="T770" s="274">
        <v>-3.081E-3</v>
      </c>
      <c r="U770" s="274">
        <v>4.2389999999999997E-3</v>
      </c>
      <c r="V770" s="274">
        <v>1.7429E-2</v>
      </c>
      <c r="W770" s="274">
        <v>9.368E-4</v>
      </c>
      <c r="X770" s="274">
        <v>-2.4069999999999999E-3</v>
      </c>
      <c r="Y770" s="274">
        <v>-2.6810000000000002E-3</v>
      </c>
      <c r="Z770" s="274">
        <f ca="1">[1]ExtEntry!$M75</f>
        <v>-2.6810000000000002E-3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2</v>
      </c>
      <c r="AJ770" s="309">
        <v>2</v>
      </c>
      <c r="AK770" s="309">
        <v>4</v>
      </c>
      <c r="AL770" s="309">
        <v>1</v>
      </c>
      <c r="AM770" s="298">
        <v>6</v>
      </c>
      <c r="AN770" s="298">
        <v>6</v>
      </c>
      <c r="AO770" s="298">
        <v>14</v>
      </c>
      <c r="AP770" s="298">
        <v>17</v>
      </c>
      <c r="AQ770" s="298">
        <v>20</v>
      </c>
      <c r="AR770" s="298">
        <v>12</v>
      </c>
      <c r="AS770" s="298">
        <v>12</v>
      </c>
      <c r="AT770" s="298">
        <v>16</v>
      </c>
      <c r="AU770" s="298">
        <v>18</v>
      </c>
      <c r="AV770" s="298">
        <f t="shared" si="50"/>
        <v>18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1.3878E-2</v>
      </c>
      <c r="G771" s="274">
        <v>9.3760000000000007E-3</v>
      </c>
      <c r="H771" s="274">
        <v>-1.0081E-2</v>
      </c>
      <c r="I771" s="274">
        <v>1.3285999999999999E-2</v>
      </c>
      <c r="J771" s="274">
        <v>1.3285999999999999E-2</v>
      </c>
      <c r="K771" s="274">
        <v>-1.9668000000000001E-2</v>
      </c>
      <c r="L771" s="274">
        <v>1.5512999999999999E-2</v>
      </c>
      <c r="M771" s="274">
        <v>-9.0089999999999996E-3</v>
      </c>
      <c r="N771" s="274">
        <v>-3.1224999999999999E-2</v>
      </c>
      <c r="O771" s="274">
        <v>8.1599999999999989E-3</v>
      </c>
      <c r="P771" s="274">
        <v>3.0639999999999999E-3</v>
      </c>
      <c r="Q771" s="274">
        <v>-2.2578000000000001E-2</v>
      </c>
      <c r="R771" s="274">
        <v>2.4697E-2</v>
      </c>
      <c r="S771" s="274">
        <v>-3.2327000000000002E-2</v>
      </c>
      <c r="T771" s="274">
        <v>5.1470000000000005E-3</v>
      </c>
      <c r="U771" s="274">
        <v>-2.1290000000000002E-3</v>
      </c>
      <c r="V771" s="274">
        <v>5.5459999999999997E-3</v>
      </c>
      <c r="W771" s="274">
        <v>-2.1850000000000001E-2</v>
      </c>
      <c r="X771" s="274">
        <v>9.7590000000000003E-3</v>
      </c>
      <c r="Y771" s="274">
        <v>7.9469999999999992E-3</v>
      </c>
      <c r="Z771" s="274">
        <f ca="1">[1]ExtEntry!$M76</f>
        <v>7.9469999999999992E-3</v>
      </c>
      <c r="AB771" s="271">
        <v>5</v>
      </c>
      <c r="AC771" s="271">
        <v>1</v>
      </c>
      <c r="AD771" s="271">
        <v>1</v>
      </c>
      <c r="AE771" s="309">
        <v>1</v>
      </c>
      <c r="AF771" s="309">
        <v>1</v>
      </c>
      <c r="AG771" s="309">
        <v>6</v>
      </c>
      <c r="AH771" s="309">
        <v>5</v>
      </c>
      <c r="AI771" s="309">
        <v>9</v>
      </c>
      <c r="AJ771" s="309">
        <v>16</v>
      </c>
      <c r="AK771" s="309">
        <v>12</v>
      </c>
      <c r="AL771" s="309">
        <v>15</v>
      </c>
      <c r="AM771" s="298">
        <v>20</v>
      </c>
      <c r="AN771" s="298">
        <v>20</v>
      </c>
      <c r="AO771" s="298">
        <v>16</v>
      </c>
      <c r="AP771" s="298">
        <v>20</v>
      </c>
      <c r="AQ771" s="298">
        <v>19</v>
      </c>
      <c r="AR771" s="298">
        <v>17</v>
      </c>
      <c r="AS771" s="298">
        <v>20</v>
      </c>
      <c r="AT771" s="298">
        <v>19</v>
      </c>
      <c r="AU771" s="298">
        <v>16</v>
      </c>
      <c r="AV771" s="298">
        <f t="shared" si="50"/>
        <v>16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2.9335E-2</v>
      </c>
      <c r="F772" s="274">
        <v>-1.2238000000000001E-2</v>
      </c>
      <c r="G772" s="274">
        <v>4.371E-4</v>
      </c>
      <c r="H772" s="274">
        <v>4.371E-4</v>
      </c>
      <c r="I772" s="274">
        <v>9.9829999999999988E-3</v>
      </c>
      <c r="J772" s="274">
        <v>9.9829999999999988E-3</v>
      </c>
      <c r="K772" s="274">
        <v>-7.7720000000000003E-3</v>
      </c>
      <c r="L772" s="274">
        <v>3.8329999999999996E-3</v>
      </c>
      <c r="M772" s="274">
        <v>1.2690000000000002E-3</v>
      </c>
      <c r="N772" s="274">
        <v>5.9969999999999997E-3</v>
      </c>
      <c r="O772" s="274">
        <v>-1.9731000000000002E-2</v>
      </c>
      <c r="P772" s="274">
        <v>5.1240000000000001E-3</v>
      </c>
      <c r="Q772" s="274">
        <v>-5.0980000000000001E-3</v>
      </c>
      <c r="R772" s="274">
        <v>-7.6880000000000004E-3</v>
      </c>
      <c r="S772" s="274">
        <v>-8.5319999999999997E-3</v>
      </c>
      <c r="T772" s="274">
        <v>5.1639999999999993E-3</v>
      </c>
      <c r="U772" s="274">
        <v>-5.5369999999999994E-3</v>
      </c>
      <c r="V772" s="274">
        <v>-1.6253E-2</v>
      </c>
      <c r="W772" s="274">
        <v>-5.2220000000000001E-3</v>
      </c>
      <c r="X772" s="274">
        <v>2.9335E-2</v>
      </c>
      <c r="Y772" s="274">
        <v>-6.803E-3</v>
      </c>
      <c r="Z772" s="274">
        <f ca="1">[1]ExtEntry!$M77</f>
        <v>-6.803E-3</v>
      </c>
      <c r="AB772" s="271">
        <v>3</v>
      </c>
      <c r="AC772" s="271">
        <v>2</v>
      </c>
      <c r="AD772" s="271">
        <v>2</v>
      </c>
      <c r="AE772" s="309">
        <v>1</v>
      </c>
      <c r="AF772" s="309">
        <v>1</v>
      </c>
      <c r="AG772" s="309">
        <v>3</v>
      </c>
      <c r="AH772" s="309">
        <v>1</v>
      </c>
      <c r="AI772" s="309">
        <v>1</v>
      </c>
      <c r="AJ772" s="309">
        <v>1</v>
      </c>
      <c r="AK772" s="309">
        <v>4</v>
      </c>
      <c r="AL772" s="309">
        <v>4</v>
      </c>
      <c r="AM772" s="298">
        <v>5</v>
      </c>
      <c r="AN772" s="298">
        <v>5</v>
      </c>
      <c r="AO772" s="298">
        <v>7</v>
      </c>
      <c r="AP772" s="298">
        <v>6</v>
      </c>
      <c r="AQ772" s="298">
        <v>7</v>
      </c>
      <c r="AR772" s="298">
        <v>13</v>
      </c>
      <c r="AS772" s="298">
        <v>17</v>
      </c>
      <c r="AT772" s="298">
        <v>5</v>
      </c>
      <c r="AU772" s="298">
        <v>7</v>
      </c>
      <c r="AV772" s="298">
        <f t="shared" si="50"/>
        <v>7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1.3514E-2</v>
      </c>
      <c r="G773" s="274">
        <v>2.735E-3</v>
      </c>
      <c r="H773" s="274">
        <v>-1.3269999999999999E-2</v>
      </c>
      <c r="I773" s="274">
        <v>9.6950000000000005E-3</v>
      </c>
      <c r="J773" s="274">
        <v>9.6950000000000005E-3</v>
      </c>
      <c r="K773" s="274">
        <v>-1.5432E-2</v>
      </c>
      <c r="L773" s="274">
        <v>-3.4923999999999997E-2</v>
      </c>
      <c r="M773" s="274">
        <v>-6.8433999999999995E-2</v>
      </c>
      <c r="N773" s="274">
        <v>0</v>
      </c>
      <c r="O773" s="274">
        <v>1.2307999999999999E-2</v>
      </c>
      <c r="P773" s="274">
        <v>7.9670000000000001E-3</v>
      </c>
      <c r="Q773" s="274">
        <v>-1.7292999999999999E-2</v>
      </c>
      <c r="R773" s="274">
        <v>4.5710000000000004E-3</v>
      </c>
      <c r="S773" s="274">
        <v>1.0602E-2</v>
      </c>
      <c r="T773" s="274">
        <v>-2.5890000000000002E-3</v>
      </c>
      <c r="U773" s="274">
        <v>1.3574999999999999E-2</v>
      </c>
      <c r="V773" s="274">
        <v>1.0417000000000001E-2</v>
      </c>
      <c r="W773" s="274">
        <v>2.7614E-2</v>
      </c>
      <c r="X773" s="274">
        <v>3.1888E-2</v>
      </c>
      <c r="Y773" s="274">
        <v>-5.9030000000000003E-3</v>
      </c>
      <c r="Z773" s="274">
        <f ca="1">[1]ExtEntry!$M78</f>
        <v>-5.9030000000000003E-3</v>
      </c>
      <c r="AB773" s="271">
        <v>2</v>
      </c>
      <c r="AC773" s="271">
        <v>1</v>
      </c>
      <c r="AD773" s="271">
        <v>1</v>
      </c>
      <c r="AE773" s="309">
        <v>4</v>
      </c>
      <c r="AF773" s="309">
        <v>4</v>
      </c>
      <c r="AG773" s="309">
        <v>8</v>
      </c>
      <c r="AH773" s="309">
        <v>10</v>
      </c>
      <c r="AI773" s="309">
        <v>16</v>
      </c>
      <c r="AJ773" s="309">
        <v>16</v>
      </c>
      <c r="AK773" s="309">
        <v>15</v>
      </c>
      <c r="AL773" s="309">
        <v>15</v>
      </c>
      <c r="AM773" s="298">
        <v>18</v>
      </c>
      <c r="AN773" s="298">
        <v>18</v>
      </c>
      <c r="AO773" s="298">
        <v>16</v>
      </c>
      <c r="AP773" s="298">
        <v>13</v>
      </c>
      <c r="AQ773" s="298">
        <v>13</v>
      </c>
      <c r="AR773" s="298">
        <v>11</v>
      </c>
      <c r="AS773" s="298">
        <v>9</v>
      </c>
      <c r="AT773" s="298">
        <v>7</v>
      </c>
      <c r="AU773" s="298">
        <v>8</v>
      </c>
      <c r="AV773" s="298">
        <f t="shared" si="50"/>
        <v>8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-2.6473E-2</v>
      </c>
      <c r="G774" s="274">
        <v>-4.071E-3</v>
      </c>
      <c r="H774" s="274">
        <v>-2.5959999999999998E-3</v>
      </c>
      <c r="I774" s="274">
        <v>3.7850000000000002E-3</v>
      </c>
      <c r="J774" s="274">
        <v>3.7850000000000002E-3</v>
      </c>
      <c r="K774" s="274">
        <v>-4.7518999999999999E-2</v>
      </c>
      <c r="L774" s="274">
        <v>-6.9870000000000002E-3</v>
      </c>
      <c r="M774" s="274">
        <v>-2.0125999999999998E-2</v>
      </c>
      <c r="N774" s="274">
        <v>-1.2677000000000001E-2</v>
      </c>
      <c r="O774" s="274">
        <v>1.07E-3</v>
      </c>
      <c r="P774" s="274">
        <v>-8.9339999999999992E-3</v>
      </c>
      <c r="Q774" s="274">
        <v>-3.5276999999999996E-2</v>
      </c>
      <c r="R774" s="274">
        <v>-1.8020999999999999E-2</v>
      </c>
      <c r="S774" s="274">
        <v>-2.4344000000000001E-2</v>
      </c>
      <c r="T774" s="274">
        <v>1.7357999999999998E-2</v>
      </c>
      <c r="U774" s="274">
        <v>1.4782E-2</v>
      </c>
      <c r="V774" s="274">
        <v>-1.1795E-2</v>
      </c>
      <c r="W774" s="274">
        <v>1.7656999999999999E-2</v>
      </c>
      <c r="X774" s="274">
        <v>1.6648E-2</v>
      </c>
      <c r="Y774" s="274">
        <v>-1.8577999999999997E-2</v>
      </c>
      <c r="Z774" s="274">
        <f ca="1">[1]ExtEntry!$M79</f>
        <v>-1.8577999999999997E-2</v>
      </c>
      <c r="AB774" s="271">
        <v>1</v>
      </c>
      <c r="AC774" s="271">
        <v>3</v>
      </c>
      <c r="AD774" s="271">
        <v>3</v>
      </c>
      <c r="AE774" s="309">
        <v>2</v>
      </c>
      <c r="AF774" s="309">
        <v>2</v>
      </c>
      <c r="AG774" s="309">
        <v>13</v>
      </c>
      <c r="AH774" s="309">
        <v>13</v>
      </c>
      <c r="AI774" s="309">
        <v>15</v>
      </c>
      <c r="AJ774" s="309">
        <v>16</v>
      </c>
      <c r="AK774" s="309">
        <v>16</v>
      </c>
      <c r="AL774" s="309">
        <v>18</v>
      </c>
      <c r="AM774" s="298">
        <v>20</v>
      </c>
      <c r="AN774" s="298">
        <v>20</v>
      </c>
      <c r="AO774" s="298">
        <v>20</v>
      </c>
      <c r="AP774" s="298">
        <v>18</v>
      </c>
      <c r="AQ774" s="298">
        <v>16</v>
      </c>
      <c r="AR774" s="298">
        <v>16</v>
      </c>
      <c r="AS774" s="298">
        <v>14</v>
      </c>
      <c r="AT774" s="298">
        <v>10</v>
      </c>
      <c r="AU774" s="298">
        <v>14</v>
      </c>
      <c r="AV774" s="298">
        <f t="shared" si="50"/>
        <v>14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-6.6869999999999994E-3</v>
      </c>
      <c r="G775" s="274">
        <v>-1.8282E-2</v>
      </c>
      <c r="H775" s="274">
        <v>-3.9139999999999999E-3</v>
      </c>
      <c r="I775" s="274">
        <v>-1.2962E-2</v>
      </c>
      <c r="J775" s="274">
        <v>-1.2962E-2</v>
      </c>
      <c r="K775" s="274">
        <v>-1.802E-3</v>
      </c>
      <c r="L775" s="274">
        <v>-4.1789999999999996E-3</v>
      </c>
      <c r="M775" s="274">
        <v>1.4023000000000001E-2</v>
      </c>
      <c r="N775" s="274">
        <v>4.5400000000000003E-4</v>
      </c>
      <c r="O775" s="274">
        <v>-1.2740000000000002E-3</v>
      </c>
      <c r="P775" s="274">
        <v>-2.6359999999999999E-3</v>
      </c>
      <c r="Q775" s="274">
        <v>-2.4992E-2</v>
      </c>
      <c r="R775" s="274">
        <v>-6.3010000000000002E-3</v>
      </c>
      <c r="S775" s="274">
        <v>-3.968E-4</v>
      </c>
      <c r="T775" s="274">
        <v>2.5104000000000001E-2</v>
      </c>
      <c r="U775" s="274">
        <v>4.5519999999999996E-3</v>
      </c>
      <c r="V775" s="274">
        <v>2.9668999999999997E-2</v>
      </c>
      <c r="W775" s="274">
        <v>7.6449999999999999E-3</v>
      </c>
      <c r="X775" s="274">
        <v>2.0245000000000003E-2</v>
      </c>
      <c r="Y775" s="274">
        <v>-6.2909999999999997E-3</v>
      </c>
      <c r="Z775" s="274">
        <f ca="1">[1]ExtEntry!$M80</f>
        <v>-6.2909999999999997E-3</v>
      </c>
      <c r="AB775" s="271">
        <v>2</v>
      </c>
      <c r="AC775" s="271">
        <v>4</v>
      </c>
      <c r="AD775" s="271">
        <v>4</v>
      </c>
      <c r="AE775" s="309">
        <v>10</v>
      </c>
      <c r="AF775" s="309">
        <v>10</v>
      </c>
      <c r="AG775" s="309">
        <v>13</v>
      </c>
      <c r="AH775" s="309">
        <v>4</v>
      </c>
      <c r="AI775" s="309">
        <v>1</v>
      </c>
      <c r="AJ775" s="309">
        <v>1</v>
      </c>
      <c r="AK775" s="309">
        <v>3</v>
      </c>
      <c r="AL775" s="309">
        <v>4</v>
      </c>
      <c r="AM775" s="298">
        <v>12</v>
      </c>
      <c r="AN775" s="298">
        <v>12</v>
      </c>
      <c r="AO775" s="298">
        <v>12</v>
      </c>
      <c r="AP775" s="298">
        <v>3</v>
      </c>
      <c r="AQ775" s="298">
        <v>8</v>
      </c>
      <c r="AR775" s="298">
        <v>1</v>
      </c>
      <c r="AS775" s="298">
        <v>1</v>
      </c>
      <c r="AT775" s="298">
        <v>1</v>
      </c>
      <c r="AU775" s="298">
        <v>2</v>
      </c>
      <c r="AV775" s="298">
        <f t="shared" si="50"/>
        <v>2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-8.4884000000000001E-2</v>
      </c>
      <c r="D776" s="735">
        <f ca="1">MAX(Tab1ChangePercent[#This Row])</f>
        <v>6.2146999999999994E-2</v>
      </c>
      <c r="F776" s="274">
        <v>-2.9527999999999999E-2</v>
      </c>
      <c r="G776" s="274">
        <v>-5.0812999999999997E-2</v>
      </c>
      <c r="H776" s="274">
        <v>-5.9261000000000001E-2</v>
      </c>
      <c r="I776" s="274">
        <v>-8.4884000000000001E-2</v>
      </c>
      <c r="J776" s="274">
        <v>-8.4884000000000001E-2</v>
      </c>
      <c r="K776" s="274">
        <v>-2.532E-3</v>
      </c>
      <c r="L776" s="274">
        <v>-0.03</v>
      </c>
      <c r="M776" s="274">
        <v>-5.1546000000000002E-2</v>
      </c>
      <c r="N776" s="274">
        <v>0</v>
      </c>
      <c r="O776" s="274">
        <v>-2.9457000000000001E-2</v>
      </c>
      <c r="P776" s="274">
        <v>-3.4091000000000003E-2</v>
      </c>
      <c r="Q776" s="274">
        <v>-5.5881999999999994E-2</v>
      </c>
      <c r="R776" s="274">
        <v>1.2270000000000001E-2</v>
      </c>
      <c r="S776" s="274">
        <v>1.2270000000000001E-2</v>
      </c>
      <c r="T776" s="274">
        <v>2.4242E-2</v>
      </c>
      <c r="U776" s="274">
        <v>3.0120000000000001E-2</v>
      </c>
      <c r="V776" s="274">
        <v>0</v>
      </c>
      <c r="W776" s="274">
        <v>-1.7544000000000001E-2</v>
      </c>
      <c r="X776" s="274">
        <v>5.3571000000000001E-2</v>
      </c>
      <c r="Y776" s="274">
        <v>6.2146999999999994E-2</v>
      </c>
      <c r="Z776" s="274">
        <f ca="1">[1]ExtEntry!$M81</f>
        <v>6.2146999999999994E-2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19</v>
      </c>
      <c r="AG776" s="309">
        <v>18</v>
      </c>
      <c r="AH776" s="309">
        <v>20</v>
      </c>
      <c r="AI776" s="309">
        <v>20</v>
      </c>
      <c r="AJ776" s="309">
        <v>19</v>
      </c>
      <c r="AK776" s="309">
        <v>20</v>
      </c>
      <c r="AL776" s="309">
        <v>20</v>
      </c>
      <c r="AM776" s="298">
        <v>20</v>
      </c>
      <c r="AN776" s="298">
        <v>20</v>
      </c>
      <c r="AO776" s="298">
        <v>19</v>
      </c>
      <c r="AP776" s="298">
        <v>17</v>
      </c>
      <c r="AQ776" s="298">
        <v>15</v>
      </c>
      <c r="AR776" s="298">
        <v>14</v>
      </c>
      <c r="AS776" s="298">
        <v>17</v>
      </c>
      <c r="AT776" s="298">
        <v>12</v>
      </c>
      <c r="AU776" s="298">
        <v>8</v>
      </c>
      <c r="AV776" s="298">
        <f t="shared" si="50"/>
        <v>8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-1.6752E-2</v>
      </c>
      <c r="G777" s="274">
        <v>2.9152999999999998E-2</v>
      </c>
      <c r="H777" s="274">
        <v>-5.2380000000000005E-3</v>
      </c>
      <c r="I777" s="274">
        <v>4.7910000000000001E-3</v>
      </c>
      <c r="J777" s="274">
        <v>4.7910000000000001E-3</v>
      </c>
      <c r="K777" s="274">
        <v>-1.2979000000000001E-2</v>
      </c>
      <c r="L777" s="274">
        <v>-7.7819999999999999E-3</v>
      </c>
      <c r="M777" s="274">
        <v>2.7214000000000002E-2</v>
      </c>
      <c r="N777" s="274">
        <v>-5.9880000000000003E-3</v>
      </c>
      <c r="O777" s="274">
        <v>-1.5818000000000002E-2</v>
      </c>
      <c r="P777" s="274">
        <v>-2.4260000000000002E-3</v>
      </c>
      <c r="Q777" s="274">
        <v>-3.3957000000000001E-2</v>
      </c>
      <c r="R777" s="274">
        <v>1.9644999999999999E-2</v>
      </c>
      <c r="S777" s="274">
        <v>8.1069999999999996E-3</v>
      </c>
      <c r="T777" s="274">
        <v>-3.7427000000000002E-2</v>
      </c>
      <c r="U777" s="274">
        <v>1.0513E-2</v>
      </c>
      <c r="V777" s="274">
        <v>-2.2706E-2</v>
      </c>
      <c r="W777" s="274">
        <v>3.872E-3</v>
      </c>
      <c r="X777" s="274">
        <v>2.2179000000000001E-2</v>
      </c>
      <c r="Y777" s="274">
        <v>-1.7340000000000001E-3</v>
      </c>
      <c r="Z777" s="274">
        <f ca="1">[1]ExtEntry!$M82</f>
        <v>-1.7340000000000001E-3</v>
      </c>
      <c r="AB777" s="271">
        <v>14</v>
      </c>
      <c r="AC777" s="271">
        <v>11</v>
      </c>
      <c r="AD777" s="271">
        <v>11</v>
      </c>
      <c r="AE777" s="309">
        <v>10</v>
      </c>
      <c r="AF777" s="309">
        <v>9</v>
      </c>
      <c r="AG777" s="309">
        <v>11</v>
      </c>
      <c r="AH777" s="309">
        <v>5</v>
      </c>
      <c r="AI777" s="309">
        <v>2</v>
      </c>
      <c r="AJ777" s="309">
        <v>4</v>
      </c>
      <c r="AK777" s="309">
        <v>4</v>
      </c>
      <c r="AL777" s="309">
        <v>3</v>
      </c>
      <c r="AM777" s="298">
        <v>6</v>
      </c>
      <c r="AN777" s="298">
        <v>6</v>
      </c>
      <c r="AO777" s="298">
        <v>4</v>
      </c>
      <c r="AP777" s="298">
        <v>14</v>
      </c>
      <c r="AQ777" s="298">
        <v>9</v>
      </c>
      <c r="AR777" s="298">
        <v>16</v>
      </c>
      <c r="AS777" s="298">
        <v>16</v>
      </c>
      <c r="AT777" s="298">
        <v>8</v>
      </c>
      <c r="AU777" s="298">
        <v>11</v>
      </c>
      <c r="AV777" s="298">
        <f t="shared" si="50"/>
        <v>11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-1.903E-3</v>
      </c>
      <c r="G778" s="274">
        <v>-1.1310000000000001E-3</v>
      </c>
      <c r="H778" s="274">
        <v>3.6099999999999999E-4</v>
      </c>
      <c r="I778" s="274">
        <v>2.2620000000000001E-3</v>
      </c>
      <c r="J778" s="274">
        <v>2.2620000000000001E-3</v>
      </c>
      <c r="K778" s="274">
        <v>1.2639000000000001E-2</v>
      </c>
      <c r="L778" s="274">
        <v>-9.6670000000000002E-3</v>
      </c>
      <c r="M778" s="274">
        <v>-2.6969999999999997E-3</v>
      </c>
      <c r="N778" s="274">
        <v>-1.487E-3</v>
      </c>
      <c r="O778" s="274">
        <v>-5.9259999999999998E-4</v>
      </c>
      <c r="P778" s="274">
        <v>8.1460000000000005E-3</v>
      </c>
      <c r="Q778" s="274">
        <v>-1.4388000000000001E-2</v>
      </c>
      <c r="R778" s="274">
        <v>-5.4069999999999997E-4</v>
      </c>
      <c r="S778" s="274">
        <v>2.382E-3</v>
      </c>
      <c r="T778" s="274">
        <v>3.9779999999999998E-3</v>
      </c>
      <c r="U778" s="274">
        <v>4.6039999999999996E-3</v>
      </c>
      <c r="V778" s="274">
        <v>-4.8409999999999998E-3</v>
      </c>
      <c r="W778" s="274">
        <v>-7.9109999999999996E-3</v>
      </c>
      <c r="X778" s="274">
        <v>1.7639999999999999E-2</v>
      </c>
      <c r="Y778" s="274">
        <v>-1.3333999999999999E-2</v>
      </c>
      <c r="Z778" s="274">
        <f ca="1">[1]ExtEntry!$M83</f>
        <v>-1.3333999999999999E-2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3</v>
      </c>
      <c r="AJ778" s="309">
        <v>4</v>
      </c>
      <c r="AK778" s="309">
        <v>5</v>
      </c>
      <c r="AL778" s="309">
        <v>1</v>
      </c>
      <c r="AM778" s="298">
        <v>7</v>
      </c>
      <c r="AN778" s="298">
        <v>7</v>
      </c>
      <c r="AO778" s="298">
        <v>5</v>
      </c>
      <c r="AP778" s="298">
        <v>1</v>
      </c>
      <c r="AQ778" s="298">
        <v>10</v>
      </c>
      <c r="AR778" s="298">
        <v>14</v>
      </c>
      <c r="AS778" s="298">
        <v>17</v>
      </c>
      <c r="AT778" s="298">
        <v>10</v>
      </c>
      <c r="AU778" s="298">
        <v>18</v>
      </c>
      <c r="AV778" s="298">
        <f t="shared" si="50"/>
        <v>18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2.1469000000000002E-2</v>
      </c>
      <c r="G779" s="274">
        <v>-1.591E-3</v>
      </c>
      <c r="H779" s="274">
        <v>6.5240000000000006E-2</v>
      </c>
      <c r="I779" s="274">
        <v>-2.3696999999999999E-2</v>
      </c>
      <c r="J779" s="274">
        <v>-2.3696999999999999E-2</v>
      </c>
      <c r="K779" s="274">
        <v>-8.1933000000000006E-2</v>
      </c>
      <c r="L779" s="274">
        <v>-4.0815999999999998E-2</v>
      </c>
      <c r="M779" s="274">
        <v>-2.66E-3</v>
      </c>
      <c r="N779" s="274">
        <v>1.0666999999999999E-2</v>
      </c>
      <c r="O779" s="274">
        <v>-1.3193E-2</v>
      </c>
      <c r="P779" s="274">
        <v>-1.4512000000000001E-2</v>
      </c>
      <c r="Q779" s="274">
        <v>4.0160000000000005E-3</v>
      </c>
      <c r="R779" s="274">
        <v>1.325E-3</v>
      </c>
      <c r="S779" s="274">
        <v>-1.9868E-2</v>
      </c>
      <c r="T779" s="274">
        <v>5.2703E-2</v>
      </c>
      <c r="U779" s="274">
        <v>-2.1519E-2</v>
      </c>
      <c r="V779" s="274">
        <v>2.9753999999999999E-2</v>
      </c>
      <c r="W779" s="274">
        <v>0</v>
      </c>
      <c r="X779" s="274">
        <v>3.9572999999999997E-2</v>
      </c>
      <c r="Y779" s="274">
        <v>-3.6232E-2</v>
      </c>
      <c r="Z779" s="274">
        <f ca="1">[1]ExtEntry!$M84</f>
        <v>-3.6232E-2</v>
      </c>
      <c r="AB779" s="271">
        <v>1</v>
      </c>
      <c r="AC779" s="271">
        <v>1</v>
      </c>
      <c r="AD779" s="271">
        <v>1</v>
      </c>
      <c r="AE779" s="309">
        <v>2</v>
      </c>
      <c r="AF779" s="309">
        <v>2</v>
      </c>
      <c r="AG779" s="309">
        <v>7</v>
      </c>
      <c r="AH779" s="309">
        <v>12</v>
      </c>
      <c r="AI779" s="309">
        <v>12</v>
      </c>
      <c r="AJ779" s="309">
        <v>10</v>
      </c>
      <c r="AK779" s="309">
        <v>12</v>
      </c>
      <c r="AL779" s="309">
        <v>13</v>
      </c>
      <c r="AM779" s="298">
        <v>11</v>
      </c>
      <c r="AN779" s="298">
        <v>11</v>
      </c>
      <c r="AO779" s="298">
        <v>10</v>
      </c>
      <c r="AP779" s="298">
        <v>9</v>
      </c>
      <c r="AQ779" s="298">
        <v>10</v>
      </c>
      <c r="AR779" s="298">
        <v>9</v>
      </c>
      <c r="AS779" s="298">
        <v>9</v>
      </c>
      <c r="AT779" s="298">
        <v>8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-2.7995000000000003E-2</v>
      </c>
      <c r="D780" s="735">
        <f ca="1">MAX(Tab1ChangePercent[#This Row])</f>
        <v>1.8407E-2</v>
      </c>
      <c r="F780" s="274">
        <v>4.9499999999999995E-3</v>
      </c>
      <c r="G780" s="274">
        <v>1.0115000000000001E-2</v>
      </c>
      <c r="H780" s="274">
        <v>1.047E-3</v>
      </c>
      <c r="I780" s="274">
        <v>8.0949999999999998E-3</v>
      </c>
      <c r="J780" s="274">
        <v>8.0949999999999998E-3</v>
      </c>
      <c r="K780" s="274">
        <v>1.8407E-2</v>
      </c>
      <c r="L780" s="274">
        <v>-1.512E-2</v>
      </c>
      <c r="M780" s="274">
        <v>1.2796E-2</v>
      </c>
      <c r="N780" s="274">
        <v>2.2109999999999999E-3</v>
      </c>
      <c r="O780" s="274">
        <v>-3.862E-3</v>
      </c>
      <c r="P780" s="274">
        <v>6.3259999999999998E-4</v>
      </c>
      <c r="Q780" s="274">
        <v>-5.1759999999999992E-3</v>
      </c>
      <c r="R780" s="274">
        <v>9.3410000000000003E-3</v>
      </c>
      <c r="S780" s="274">
        <v>1.2555E-2</v>
      </c>
      <c r="T780" s="274">
        <v>1.482E-3</v>
      </c>
      <c r="U780" s="274">
        <v>-8.4019999999999997E-3</v>
      </c>
      <c r="V780" s="274">
        <v>-5.0499999999999998E-3</v>
      </c>
      <c r="W780" s="274">
        <v>-1.1636000000000001E-2</v>
      </c>
      <c r="X780" s="274">
        <v>8.3759999999999998E-3</v>
      </c>
      <c r="Y780" s="274">
        <v>-2.7995000000000003E-2</v>
      </c>
      <c r="Z780" s="274">
        <f ca="1">[1]ExtEntry!$M85</f>
        <v>-2.7995000000000003E-2</v>
      </c>
      <c r="AB780" s="271">
        <v>2</v>
      </c>
      <c r="AC780" s="271">
        <v>1</v>
      </c>
      <c r="AD780" s="271">
        <v>1</v>
      </c>
      <c r="AE780" s="309">
        <v>1</v>
      </c>
      <c r="AF780" s="309">
        <v>1</v>
      </c>
      <c r="AG780" s="309">
        <v>1</v>
      </c>
      <c r="AH780" s="309">
        <v>2</v>
      </c>
      <c r="AI780" s="309">
        <v>2</v>
      </c>
      <c r="AJ780" s="309">
        <v>2</v>
      </c>
      <c r="AK780" s="309">
        <v>4</v>
      </c>
      <c r="AL780" s="309">
        <v>4</v>
      </c>
      <c r="AM780" s="298">
        <v>6</v>
      </c>
      <c r="AN780" s="298">
        <v>6</v>
      </c>
      <c r="AO780" s="298">
        <v>1</v>
      </c>
      <c r="AP780" s="298">
        <v>1</v>
      </c>
      <c r="AQ780" s="298">
        <v>1</v>
      </c>
      <c r="AR780" s="298">
        <v>4</v>
      </c>
      <c r="AS780" s="298">
        <v>9</v>
      </c>
      <c r="AT780" s="298">
        <v>6</v>
      </c>
      <c r="AU780" s="298">
        <v>18</v>
      </c>
      <c r="AV780" s="298">
        <f t="shared" si="50"/>
        <v>18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1.2391000000000001E-2</v>
      </c>
      <c r="F781" s="274">
        <v>7.6920000000000001E-3</v>
      </c>
      <c r="G781" s="274">
        <v>2.7760000000000003E-3</v>
      </c>
      <c r="H781" s="274">
        <v>4.1549999999999998E-3</v>
      </c>
      <c r="I781" s="274">
        <v>-6.9040000000000004E-3</v>
      </c>
      <c r="J781" s="274">
        <v>-6.9040000000000004E-3</v>
      </c>
      <c r="K781" s="274">
        <v>6.9520000000000007E-3</v>
      </c>
      <c r="L781" s="274">
        <v>-1.8301000000000001E-2</v>
      </c>
      <c r="M781" s="274">
        <v>-2.3917999999999998E-2</v>
      </c>
      <c r="N781" s="274">
        <v>-1.0809999999999999E-3</v>
      </c>
      <c r="O781" s="274">
        <v>-8.2970000000000006E-3</v>
      </c>
      <c r="P781" s="274">
        <v>-1.0789999999999999E-3</v>
      </c>
      <c r="Q781" s="274">
        <v>-8.2789999999999999E-3</v>
      </c>
      <c r="R781" s="274">
        <v>-1.9224000000000002E-2</v>
      </c>
      <c r="S781" s="274">
        <v>1.146E-2</v>
      </c>
      <c r="T781" s="274">
        <v>-2.552E-3</v>
      </c>
      <c r="U781" s="274">
        <v>-7.339E-3</v>
      </c>
      <c r="V781" s="274">
        <v>1.0721000000000001E-2</v>
      </c>
      <c r="W781" s="274">
        <v>3.6580000000000002E-3</v>
      </c>
      <c r="X781" s="274">
        <v>1.2391000000000001E-2</v>
      </c>
      <c r="Y781" s="274">
        <v>7.1989999999999999E-4</v>
      </c>
      <c r="Z781" s="274">
        <f ca="1">[1]ExtEntry!$M86</f>
        <v>7.1989999999999999E-4</v>
      </c>
      <c r="AB781" s="271">
        <v>1</v>
      </c>
      <c r="AC781" s="271">
        <v>1</v>
      </c>
      <c r="AD781" s="271">
        <v>1</v>
      </c>
      <c r="AE781" s="309">
        <v>4</v>
      </c>
      <c r="AF781" s="309">
        <v>4</v>
      </c>
      <c r="AG781" s="309">
        <v>2</v>
      </c>
      <c r="AH781" s="309">
        <v>8</v>
      </c>
      <c r="AI781" s="309">
        <v>10</v>
      </c>
      <c r="AJ781" s="309">
        <v>11</v>
      </c>
      <c r="AK781" s="309">
        <v>15</v>
      </c>
      <c r="AL781" s="309">
        <v>10</v>
      </c>
      <c r="AM781" s="298">
        <v>15</v>
      </c>
      <c r="AN781" s="298">
        <v>15</v>
      </c>
      <c r="AO781" s="298">
        <v>19</v>
      </c>
      <c r="AP781" s="298">
        <v>18</v>
      </c>
      <c r="AQ781" s="298">
        <v>19</v>
      </c>
      <c r="AR781" s="298">
        <v>18</v>
      </c>
      <c r="AS781" s="298">
        <v>15</v>
      </c>
      <c r="AT781" s="298">
        <v>9</v>
      </c>
      <c r="AU781" s="298">
        <v>8</v>
      </c>
      <c r="AV781" s="298">
        <f t="shared" si="50"/>
        <v>8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-1.1396999999999999E-2</v>
      </c>
      <c r="G782" s="274">
        <v>1.5640000000000001E-3</v>
      </c>
      <c r="H782" s="274">
        <v>-1.1882999999999999E-2</v>
      </c>
      <c r="I782" s="274">
        <v>-4.8630000000000001E-3</v>
      </c>
      <c r="J782" s="274">
        <v>-4.8630000000000001E-3</v>
      </c>
      <c r="K782" s="274">
        <v>7.3929999999999994E-3</v>
      </c>
      <c r="L782" s="274">
        <v>1.2874000000000002E-2</v>
      </c>
      <c r="M782" s="274">
        <v>-7.6509999999999998E-3</v>
      </c>
      <c r="N782" s="274">
        <v>1.8787999999999999E-2</v>
      </c>
      <c r="O782" s="274">
        <v>8.5340000000000004E-4</v>
      </c>
      <c r="P782" s="274">
        <v>2.1050000000000001E-3</v>
      </c>
      <c r="Q782" s="274">
        <v>4.411E-3</v>
      </c>
      <c r="R782" s="274">
        <v>-2.6993E-2</v>
      </c>
      <c r="S782" s="274">
        <v>-3.6420000000000001E-2</v>
      </c>
      <c r="T782" s="274">
        <v>6.6949999999999996E-3</v>
      </c>
      <c r="U782" s="274">
        <v>-1.1109000000000001E-2</v>
      </c>
      <c r="V782" s="274">
        <v>-5.5089999999999991E-3</v>
      </c>
      <c r="W782" s="274">
        <v>3.1068999999999999E-2</v>
      </c>
      <c r="X782" s="274">
        <v>-5.6140000000000001E-3</v>
      </c>
      <c r="Y782" s="274">
        <v>-7.8230000000000001E-3</v>
      </c>
      <c r="Z782" s="274">
        <f ca="1">[1]ExtEntry!$M87</f>
        <v>-7.8230000000000001E-3</v>
      </c>
      <c r="AB782" s="271">
        <v>8</v>
      </c>
      <c r="AC782" s="271">
        <v>2</v>
      </c>
      <c r="AD782" s="271">
        <v>2</v>
      </c>
      <c r="AE782" s="309">
        <v>12</v>
      </c>
      <c r="AF782" s="309">
        <v>12</v>
      </c>
      <c r="AG782" s="309">
        <v>9</v>
      </c>
      <c r="AH782" s="309">
        <v>1</v>
      </c>
      <c r="AI782" s="309">
        <v>2</v>
      </c>
      <c r="AJ782" s="309">
        <v>1</v>
      </c>
      <c r="AK782" s="309">
        <v>1</v>
      </c>
      <c r="AL782" s="309">
        <v>1</v>
      </c>
      <c r="AM782" s="298">
        <v>1</v>
      </c>
      <c r="AN782" s="298">
        <v>1</v>
      </c>
      <c r="AO782" s="298">
        <v>5</v>
      </c>
      <c r="AP782" s="298">
        <v>6</v>
      </c>
      <c r="AQ782" s="298">
        <v>10</v>
      </c>
      <c r="AR782" s="298">
        <v>11</v>
      </c>
      <c r="AS782" s="298">
        <v>9</v>
      </c>
      <c r="AT782" s="298">
        <v>10</v>
      </c>
      <c r="AU782" s="298">
        <v>12</v>
      </c>
      <c r="AV782" s="298">
        <f t="shared" si="50"/>
        <v>12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-3.9420999999999998E-2</v>
      </c>
      <c r="D783" s="735">
        <f ca="1">MAX(Tab1ChangePercent[#This Row])</f>
        <v>1.0989000000000001E-2</v>
      </c>
      <c r="F783" s="274">
        <v>-4.372E-3</v>
      </c>
      <c r="G783" s="274">
        <v>-2.9909999999999997E-3</v>
      </c>
      <c r="H783" s="274">
        <v>-1.9890000000000001E-4</v>
      </c>
      <c r="I783" s="274">
        <v>9.8320000000000005E-3</v>
      </c>
      <c r="J783" s="274">
        <v>9.8320000000000005E-3</v>
      </c>
      <c r="K783" s="274">
        <v>2.1719999999999999E-3</v>
      </c>
      <c r="L783" s="274">
        <v>-2.8980000000000002E-2</v>
      </c>
      <c r="M783" s="274">
        <v>-8.7510000000000001E-3</v>
      </c>
      <c r="N783" s="274">
        <v>5.8189999999999995E-3</v>
      </c>
      <c r="O783" s="274">
        <v>-1.8947000000000002E-2</v>
      </c>
      <c r="P783" s="274">
        <v>6.5039999999999994E-3</v>
      </c>
      <c r="Q783" s="274">
        <v>2.5609999999999999E-3</v>
      </c>
      <c r="R783" s="274">
        <v>-2.0019999999999999E-4</v>
      </c>
      <c r="S783" s="274">
        <v>-7.6060000000000008E-3</v>
      </c>
      <c r="T783" s="274">
        <v>-1.0085E-2</v>
      </c>
      <c r="U783" s="274">
        <v>-1.2661E-2</v>
      </c>
      <c r="V783" s="274">
        <v>6.9249999999999997E-3</v>
      </c>
      <c r="W783" s="274">
        <v>-4.8560000000000001E-3</v>
      </c>
      <c r="X783" s="274">
        <v>1.0989000000000001E-2</v>
      </c>
      <c r="Y783" s="274">
        <v>-3.9420999999999998E-2</v>
      </c>
      <c r="Z783" s="274">
        <f ca="1">[1]ExtEntry!$M88</f>
        <v>-3.9420999999999998E-2</v>
      </c>
      <c r="AB783" s="271">
        <v>5</v>
      </c>
      <c r="AC783" s="271">
        <v>6</v>
      </c>
      <c r="AD783" s="271">
        <v>6</v>
      </c>
      <c r="AE783" s="309">
        <v>4</v>
      </c>
      <c r="AF783" s="309">
        <v>4</v>
      </c>
      <c r="AG783" s="309">
        <v>1</v>
      </c>
      <c r="AH783" s="309">
        <v>8</v>
      </c>
      <c r="AI783" s="309">
        <v>11</v>
      </c>
      <c r="AJ783" s="309">
        <v>7</v>
      </c>
      <c r="AK783" s="309">
        <v>14</v>
      </c>
      <c r="AL783" s="309">
        <v>11</v>
      </c>
      <c r="AM783" s="298">
        <v>11</v>
      </c>
      <c r="AN783" s="298">
        <v>11</v>
      </c>
      <c r="AO783" s="298">
        <v>10</v>
      </c>
      <c r="AP783" s="298">
        <v>18</v>
      </c>
      <c r="AQ783" s="298">
        <v>18</v>
      </c>
      <c r="AR783" s="298">
        <v>16</v>
      </c>
      <c r="AS783" s="298">
        <v>18</v>
      </c>
      <c r="AT783" s="298">
        <v>12</v>
      </c>
      <c r="AU783" s="298">
        <v>20</v>
      </c>
      <c r="AV783" s="298">
        <f t="shared" si="50"/>
        <v>20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-2.6179000000000001E-2</v>
      </c>
      <c r="G784" s="274">
        <v>-1.4950000000000001E-2</v>
      </c>
      <c r="H784" s="274">
        <v>-1.0203E-2</v>
      </c>
      <c r="I784" s="274">
        <v>-3.2203000000000002E-2</v>
      </c>
      <c r="J784" s="274">
        <v>-3.2203000000000002E-2</v>
      </c>
      <c r="K784" s="274">
        <v>-1.5845000000000001E-2</v>
      </c>
      <c r="L784" s="274">
        <v>1.8092E-2</v>
      </c>
      <c r="M784" s="274">
        <v>-2.4194E-2</v>
      </c>
      <c r="N784" s="274">
        <v>4.4408000000000003E-2</v>
      </c>
      <c r="O784" s="274">
        <v>-2.0598999999999999E-2</v>
      </c>
      <c r="P784" s="274">
        <v>-2.2581000000000004E-2</v>
      </c>
      <c r="Q784" s="274">
        <v>-1.65E-3</v>
      </c>
      <c r="R784" s="274">
        <v>-2.4444E-2</v>
      </c>
      <c r="S784" s="274">
        <v>-2.2875999999999997E-2</v>
      </c>
      <c r="T784" s="274">
        <v>3.6789000000000002E-2</v>
      </c>
      <c r="U784" s="274">
        <v>2.9315999999999998E-2</v>
      </c>
      <c r="V784" s="274">
        <v>-7.9109999999999996E-3</v>
      </c>
      <c r="W784" s="274">
        <v>3.0255000000000001E-2</v>
      </c>
      <c r="X784" s="274">
        <v>4.4749999999999998E-3</v>
      </c>
      <c r="Y784" s="274">
        <v>1.3804E-2</v>
      </c>
      <c r="Z784" s="274">
        <f ca="1">[1]ExtEntry!$M89</f>
        <v>1.3804E-2</v>
      </c>
      <c r="AB784" s="271">
        <v>6</v>
      </c>
      <c r="AC784" s="271">
        <v>6</v>
      </c>
      <c r="AD784" s="271">
        <v>6</v>
      </c>
      <c r="AE784" s="309">
        <v>14</v>
      </c>
      <c r="AF784" s="309">
        <v>14</v>
      </c>
      <c r="AG784" s="309">
        <v>19</v>
      </c>
      <c r="AH784" s="309">
        <v>1</v>
      </c>
      <c r="AI784" s="309">
        <v>5</v>
      </c>
      <c r="AJ784" s="309">
        <v>1</v>
      </c>
      <c r="AK784" s="309">
        <v>2</v>
      </c>
      <c r="AL784" s="309">
        <v>5</v>
      </c>
      <c r="AM784" s="298">
        <v>5</v>
      </c>
      <c r="AN784" s="298">
        <v>5</v>
      </c>
      <c r="AO784" s="298">
        <v>7</v>
      </c>
      <c r="AP784" s="298">
        <v>3</v>
      </c>
      <c r="AQ784" s="298">
        <v>2</v>
      </c>
      <c r="AR784" s="298">
        <v>3</v>
      </c>
      <c r="AS784" s="298">
        <v>1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-9.3080000000000003E-3</v>
      </c>
      <c r="G785" s="274">
        <v>6.1329999999999996E-3</v>
      </c>
      <c r="H785" s="274">
        <v>-3.7812999999999999E-2</v>
      </c>
      <c r="I785" s="274">
        <v>-6.1900000000000002E-3</v>
      </c>
      <c r="J785" s="274">
        <v>-6.1900000000000002E-3</v>
      </c>
      <c r="K785" s="274">
        <v>8.8439999999999994E-3</v>
      </c>
      <c r="L785" s="274">
        <v>1.4990000000000001E-3</v>
      </c>
      <c r="M785" s="274">
        <v>1.7065999999999998E-2</v>
      </c>
      <c r="N785" s="274">
        <v>-3.5330000000000001E-3</v>
      </c>
      <c r="O785" s="274">
        <v>8.8680000000000009E-3</v>
      </c>
      <c r="P785" s="274">
        <v>-4.9359999999999994E-3</v>
      </c>
      <c r="Q785" s="274">
        <v>-1.0449999999999999E-3</v>
      </c>
      <c r="R785" s="274">
        <v>3.0309999999999998E-3</v>
      </c>
      <c r="S785" s="274">
        <v>-8.372000000000001E-3</v>
      </c>
      <c r="T785" s="274">
        <v>1.7176E-2</v>
      </c>
      <c r="U785" s="274">
        <v>-1.8444000000000002E-2</v>
      </c>
      <c r="V785" s="274">
        <v>7.0460000000000002E-3</v>
      </c>
      <c r="W785" s="274">
        <v>1.5743E-2</v>
      </c>
      <c r="X785" s="274">
        <v>9.7590000000000003E-3</v>
      </c>
      <c r="Y785" s="274">
        <v>5.9850000000000007E-3</v>
      </c>
      <c r="Z785" s="274">
        <f ca="1">[1]ExtEntry!$M90</f>
        <v>5.9850000000000007E-3</v>
      </c>
      <c r="AB785" s="271">
        <v>19</v>
      </c>
      <c r="AC785" s="271">
        <v>17</v>
      </c>
      <c r="AD785" s="271">
        <v>17</v>
      </c>
      <c r="AE785" s="309">
        <v>20</v>
      </c>
      <c r="AF785" s="309">
        <v>19</v>
      </c>
      <c r="AG785" s="309">
        <v>17</v>
      </c>
      <c r="AH785" s="309">
        <v>16</v>
      </c>
      <c r="AI785" s="309">
        <v>15</v>
      </c>
      <c r="AJ785" s="309">
        <v>15</v>
      </c>
      <c r="AK785" s="309">
        <v>12</v>
      </c>
      <c r="AL785" s="309">
        <v>9</v>
      </c>
      <c r="AM785" s="298">
        <v>9</v>
      </c>
      <c r="AN785" s="298">
        <v>9</v>
      </c>
      <c r="AO785" s="298">
        <v>6</v>
      </c>
      <c r="AP785" s="298">
        <v>4</v>
      </c>
      <c r="AQ785" s="298">
        <v>12</v>
      </c>
      <c r="AR785" s="298">
        <v>6</v>
      </c>
      <c r="AS785" s="298">
        <v>2</v>
      </c>
      <c r="AT785" s="298">
        <v>1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1.1742999999999998E-2</v>
      </c>
      <c r="F786" s="266">
        <v>-1.8453999999999998E-2</v>
      </c>
      <c r="G786" s="266">
        <v>-9.2060000000000004E-4</v>
      </c>
      <c r="H786" s="266">
        <v>4.6169999999999996E-3</v>
      </c>
      <c r="I786" s="266">
        <v>-3.2582E-2</v>
      </c>
      <c r="J786" s="266">
        <v>-3.2582E-2</v>
      </c>
      <c r="K786" s="266">
        <v>-1.9520000000000002E-3</v>
      </c>
      <c r="L786" s="266">
        <v>-3.792E-4</v>
      </c>
      <c r="M786" s="266">
        <v>-3.8569999999999998E-3</v>
      </c>
      <c r="N786" s="266">
        <v>7.8700000000000003E-3</v>
      </c>
      <c r="O786" s="266">
        <v>1.1085000000000001E-2</v>
      </c>
      <c r="P786" s="266">
        <v>-1.4112E-2</v>
      </c>
      <c r="Q786" s="266">
        <v>-5.1733000000000001E-2</v>
      </c>
      <c r="R786" s="266">
        <v>-1.0757000000000001E-2</v>
      </c>
      <c r="S786" s="266">
        <v>-5.7720000000000002E-3</v>
      </c>
      <c r="T786" s="266">
        <v>-5.2780000000000004E-4</v>
      </c>
      <c r="U786" s="266">
        <v>1.1742999999999998E-2</v>
      </c>
      <c r="V786" s="266">
        <v>-4.0889999999999998E-3</v>
      </c>
      <c r="W786" s="266">
        <v>-2.3241999999999999E-2</v>
      </c>
      <c r="X786" s="266">
        <v>6.5759999999999994E-3</v>
      </c>
      <c r="Y786" s="266">
        <v>-1.8456E-2</v>
      </c>
      <c r="Z786" s="266">
        <f ca="1">[1]ExtEntry!$M91</f>
        <v>-1.8456E-2</v>
      </c>
      <c r="AB786" s="271">
        <v>10</v>
      </c>
      <c r="AC786" s="271">
        <v>11</v>
      </c>
      <c r="AD786" s="271">
        <v>11</v>
      </c>
      <c r="AE786" s="309">
        <v>17</v>
      </c>
      <c r="AF786" s="309">
        <v>17</v>
      </c>
      <c r="AG786" s="309">
        <v>18</v>
      </c>
      <c r="AH786" s="309">
        <v>6</v>
      </c>
      <c r="AI786" s="309">
        <v>6</v>
      </c>
      <c r="AJ786" s="309">
        <v>4</v>
      </c>
      <c r="AK786" s="309">
        <v>3</v>
      </c>
      <c r="AL786" s="309">
        <v>3</v>
      </c>
      <c r="AM786" s="298">
        <v>12</v>
      </c>
      <c r="AN786" s="298">
        <v>12</v>
      </c>
      <c r="AO786" s="298">
        <v>12</v>
      </c>
      <c r="AP786" s="298">
        <v>10</v>
      </c>
      <c r="AQ786" s="298">
        <v>9</v>
      </c>
      <c r="AR786" s="298">
        <v>14</v>
      </c>
      <c r="AS786" s="298">
        <v>20</v>
      </c>
      <c r="AT786" s="298">
        <v>16</v>
      </c>
      <c r="AU786" s="298">
        <v>20</v>
      </c>
      <c r="AV786" s="298">
        <f t="shared" si="50"/>
        <v>20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-2.9380000000000001E-3</v>
      </c>
      <c r="G787" s="274">
        <v>-1.1081000000000001E-2</v>
      </c>
      <c r="H787" s="274">
        <v>3.0230000000000001E-3</v>
      </c>
      <c r="I787" s="274">
        <v>3.0058999999999999E-2</v>
      </c>
      <c r="J787" s="274">
        <v>3.0058999999999999E-2</v>
      </c>
      <c r="K787" s="274">
        <v>2.1963E-2</v>
      </c>
      <c r="L787" s="274">
        <v>4.0670000000000003E-3</v>
      </c>
      <c r="M787" s="274">
        <v>-1.054E-3</v>
      </c>
      <c r="N787" s="274">
        <v>1.0609E-2</v>
      </c>
      <c r="O787" s="274">
        <v>1.8959999999999999E-3</v>
      </c>
      <c r="P787" s="274">
        <v>-1.0839999999999999E-3</v>
      </c>
      <c r="Q787" s="274">
        <v>2.8160000000000004E-3</v>
      </c>
      <c r="R787" s="274">
        <v>3.669E-3</v>
      </c>
      <c r="S787" s="274">
        <v>8.4170000000000009E-3</v>
      </c>
      <c r="T787" s="274">
        <v>3.0013999999999999E-2</v>
      </c>
      <c r="U787" s="274">
        <v>-1.9012999999999999E-2</v>
      </c>
      <c r="V787" s="274">
        <v>2.0367000000000003E-2</v>
      </c>
      <c r="W787" s="274">
        <v>-2.3473999999999998E-2</v>
      </c>
      <c r="X787" s="274">
        <v>7.977999999999999E-3</v>
      </c>
      <c r="Y787" s="274">
        <v>-3.6720000000000004E-3</v>
      </c>
      <c r="Z787" s="274">
        <f ca="1">[1]ExtEntry!$M92</f>
        <v>-3.6720000000000004E-3</v>
      </c>
      <c r="AB787" s="271">
        <v>8</v>
      </c>
      <c r="AC787" s="271">
        <v>8</v>
      </c>
      <c r="AD787" s="271">
        <v>8</v>
      </c>
      <c r="AE787" s="309">
        <v>3</v>
      </c>
      <c r="AF787" s="309">
        <v>2</v>
      </c>
      <c r="AG787" s="309">
        <v>1</v>
      </c>
      <c r="AH787" s="309">
        <v>2</v>
      </c>
      <c r="AI787" s="309">
        <v>3</v>
      </c>
      <c r="AJ787" s="309">
        <v>1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2</v>
      </c>
      <c r="AR787" s="298">
        <v>1</v>
      </c>
      <c r="AS787" s="298">
        <v>4</v>
      </c>
      <c r="AT787" s="298">
        <v>2</v>
      </c>
      <c r="AU787" s="298">
        <v>3</v>
      </c>
      <c r="AV787" s="298">
        <f t="shared" si="50"/>
        <v>3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1.5038000000000001E-2</v>
      </c>
      <c r="F789" s="274">
        <v>-9.3749999999999997E-4</v>
      </c>
      <c r="G789" s="274">
        <v>-8.4450000000000011E-3</v>
      </c>
      <c r="H789" s="274">
        <v>-4.4349999999999997E-3</v>
      </c>
      <c r="I789" s="274">
        <v>-4.4400000000000004E-3</v>
      </c>
      <c r="J789" s="274">
        <v>-4.4400000000000004E-3</v>
      </c>
      <c r="K789" s="274">
        <v>-5.0970000000000008E-3</v>
      </c>
      <c r="L789" s="274">
        <v>-1.9420000000000001E-3</v>
      </c>
      <c r="M789" s="274">
        <v>1.0055000000000001E-2</v>
      </c>
      <c r="N789" s="274">
        <v>6.744E-3</v>
      </c>
      <c r="O789" s="274">
        <v>-1.0206999999999999E-2</v>
      </c>
      <c r="P789" s="274">
        <v>-9.1830000000000002E-3</v>
      </c>
      <c r="Q789" s="274">
        <v>-2.5564E-2</v>
      </c>
      <c r="R789" s="274">
        <v>-7.4750000000000007E-3</v>
      </c>
      <c r="S789" s="274">
        <v>1.1792E-2</v>
      </c>
      <c r="T789" s="274">
        <v>7.705E-3</v>
      </c>
      <c r="U789" s="274">
        <v>1.1203000000000001E-2</v>
      </c>
      <c r="V789" s="274">
        <v>-2.6069999999999999E-3</v>
      </c>
      <c r="W789" s="274">
        <v>1.6329999999999999E-3</v>
      </c>
      <c r="X789" s="274">
        <v>-2.2829999999999999E-3</v>
      </c>
      <c r="Y789" s="274">
        <v>1.5038000000000001E-2</v>
      </c>
      <c r="Z789" s="274">
        <f ca="1">[1]ExtEntry!$M94</f>
        <v>1.5038000000000001E-2</v>
      </c>
      <c r="AB789" s="271">
        <v>8</v>
      </c>
      <c r="AC789" s="271">
        <v>14</v>
      </c>
      <c r="AD789" s="271">
        <v>14</v>
      </c>
      <c r="AE789" s="309">
        <v>20</v>
      </c>
      <c r="AF789" s="309">
        <v>19</v>
      </c>
      <c r="AG789" s="309">
        <v>20</v>
      </c>
      <c r="AH789" s="309">
        <v>20</v>
      </c>
      <c r="AI789" s="309">
        <v>19</v>
      </c>
      <c r="AJ789" s="309">
        <v>17</v>
      </c>
      <c r="AK789" s="309">
        <v>19</v>
      </c>
      <c r="AL789" s="309">
        <v>20</v>
      </c>
      <c r="AM789" s="298">
        <v>20</v>
      </c>
      <c r="AN789" s="298">
        <v>20</v>
      </c>
      <c r="AO789" s="298">
        <v>20</v>
      </c>
      <c r="AP789" s="298">
        <v>17</v>
      </c>
      <c r="AQ789" s="298">
        <v>15</v>
      </c>
      <c r="AR789" s="298">
        <v>15</v>
      </c>
      <c r="AS789" s="298">
        <v>14</v>
      </c>
      <c r="AT789" s="298">
        <v>15</v>
      </c>
      <c r="AU789" s="298">
        <v>9</v>
      </c>
      <c r="AV789" s="298">
        <f t="shared" si="50"/>
        <v>9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-1.6961E-2</v>
      </c>
      <c r="G790" s="266">
        <v>4.2979999999999997E-3</v>
      </c>
      <c r="H790" s="266">
        <v>6.0299999999999998E-3</v>
      </c>
      <c r="I790" s="266">
        <v>-1.6539999999999999E-3</v>
      </c>
      <c r="J790" s="266">
        <v>-1.6539999999999999E-3</v>
      </c>
      <c r="K790" s="266">
        <v>-8.0780000000000001E-3</v>
      </c>
      <c r="L790" s="266">
        <v>2.6917E-2</v>
      </c>
      <c r="M790" s="266">
        <v>-1.1729E-2</v>
      </c>
      <c r="N790" s="266">
        <v>1.8678999999999998E-2</v>
      </c>
      <c r="O790" s="266">
        <v>9.4219999999999998E-3</v>
      </c>
      <c r="P790" s="266">
        <v>1.2520000000000001E-3</v>
      </c>
      <c r="Q790" s="266">
        <v>-1.8917E-2</v>
      </c>
      <c r="R790" s="266">
        <v>2.8570000000000002E-3</v>
      </c>
      <c r="S790" s="266">
        <v>6.2469999999999999E-3</v>
      </c>
      <c r="T790" s="266">
        <v>6.5430000000000002E-3</v>
      </c>
      <c r="U790" s="266">
        <v>1.3955E-2</v>
      </c>
      <c r="V790" s="266">
        <v>1.7699999999999999E-3</v>
      </c>
      <c r="W790" s="266">
        <v>9.8139999999999998E-3</v>
      </c>
      <c r="X790" s="266">
        <v>1.0496E-2</v>
      </c>
      <c r="Y790" s="266">
        <v>-9.3289999999999988E-3</v>
      </c>
      <c r="Z790" s="266">
        <f ca="1">[1]ExtEntry!$M95</f>
        <v>-9.3289999999999988E-3</v>
      </c>
      <c r="AB790" s="298">
        <v>11</v>
      </c>
      <c r="AC790" s="298">
        <v>17</v>
      </c>
      <c r="AD790" s="298">
        <v>17</v>
      </c>
      <c r="AE790" s="298">
        <v>13</v>
      </c>
      <c r="AF790" s="298">
        <v>12</v>
      </c>
      <c r="AG790" s="298">
        <v>17</v>
      </c>
      <c r="AH790" s="298">
        <v>4</v>
      </c>
      <c r="AI790" s="298">
        <v>9</v>
      </c>
      <c r="AJ790" s="298">
        <v>1</v>
      </c>
      <c r="AK790" s="298">
        <v>1</v>
      </c>
      <c r="AL790" s="298">
        <v>1</v>
      </c>
      <c r="AM790" s="298">
        <v>7</v>
      </c>
      <c r="AN790" s="298">
        <v>7</v>
      </c>
      <c r="AO790" s="298">
        <v>4</v>
      </c>
      <c r="AP790" s="298">
        <v>1</v>
      </c>
      <c r="AQ790" s="298">
        <v>1</v>
      </c>
      <c r="AR790" s="298">
        <v>1</v>
      </c>
      <c r="AS790" s="298">
        <v>1</v>
      </c>
      <c r="AT790" s="298">
        <v>1</v>
      </c>
      <c r="AU790" s="298">
        <v>2</v>
      </c>
      <c r="AV790" s="298">
        <f t="shared" si="50"/>
        <v>2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45887</v>
      </c>
      <c r="G795" s="128">
        <f t="shared" si="53"/>
        <v>45888</v>
      </c>
      <c r="H795" s="128">
        <f t="shared" si="53"/>
        <v>45889</v>
      </c>
      <c r="I795" s="128">
        <f t="shared" si="53"/>
        <v>45890</v>
      </c>
      <c r="J795" s="128">
        <f t="shared" si="53"/>
        <v>45891</v>
      </c>
      <c r="K795" s="128">
        <f t="shared" si="53"/>
        <v>45894</v>
      </c>
      <c r="L795" s="128">
        <f t="shared" si="53"/>
        <v>45895</v>
      </c>
      <c r="M795" s="128">
        <f t="shared" si="53"/>
        <v>45896</v>
      </c>
      <c r="N795" s="128">
        <f t="shared" si="53"/>
        <v>45897</v>
      </c>
      <c r="O795" s="128">
        <f t="shared" si="53"/>
        <v>45898</v>
      </c>
      <c r="P795" s="128">
        <f t="shared" si="53"/>
        <v>45901</v>
      </c>
      <c r="Q795" s="128">
        <f t="shared" si="53"/>
        <v>45902</v>
      </c>
      <c r="R795" s="128">
        <f t="shared" si="53"/>
        <v>45903</v>
      </c>
      <c r="S795" s="128">
        <f t="shared" si="53"/>
        <v>45904</v>
      </c>
      <c r="T795" s="128">
        <f t="shared" si="53"/>
        <v>45905</v>
      </c>
      <c r="U795" s="128">
        <f t="shared" si="53"/>
        <v>45908</v>
      </c>
      <c r="V795" s="128">
        <f t="shared" si="53"/>
        <v>45909</v>
      </c>
      <c r="W795" s="128">
        <f t="shared" si="53"/>
        <v>45910</v>
      </c>
      <c r="X795" s="128">
        <f t="shared" si="53"/>
        <v>45911</v>
      </c>
      <c r="Y795" s="128">
        <f t="shared" si="53"/>
        <v>45912</v>
      </c>
      <c r="Z795" s="128">
        <f t="shared" ca="1" si="53"/>
        <v>45912</v>
      </c>
      <c r="AB795" s="128">
        <f t="shared" ref="AB795:AV795" si="54">F696</f>
        <v>45887</v>
      </c>
      <c r="AC795" s="128">
        <f t="shared" si="54"/>
        <v>45888</v>
      </c>
      <c r="AD795" s="128">
        <f t="shared" si="54"/>
        <v>45889</v>
      </c>
      <c r="AE795" s="128">
        <f t="shared" si="54"/>
        <v>45890</v>
      </c>
      <c r="AF795" s="128">
        <f t="shared" si="54"/>
        <v>45891</v>
      </c>
      <c r="AG795" s="128">
        <f t="shared" si="54"/>
        <v>45894</v>
      </c>
      <c r="AH795" s="128">
        <f t="shared" si="54"/>
        <v>45895</v>
      </c>
      <c r="AI795" s="128">
        <f t="shared" si="54"/>
        <v>45896</v>
      </c>
      <c r="AJ795" s="128">
        <f t="shared" si="54"/>
        <v>45897</v>
      </c>
      <c r="AK795" s="128">
        <f t="shared" si="54"/>
        <v>45898</v>
      </c>
      <c r="AL795" s="128">
        <f t="shared" si="54"/>
        <v>45901</v>
      </c>
      <c r="AM795" s="128">
        <f t="shared" si="54"/>
        <v>45902</v>
      </c>
      <c r="AN795" s="128">
        <f t="shared" si="54"/>
        <v>45903</v>
      </c>
      <c r="AO795" s="128">
        <f t="shared" si="54"/>
        <v>45904</v>
      </c>
      <c r="AP795" s="128">
        <f t="shared" si="54"/>
        <v>45905</v>
      </c>
      <c r="AQ795" s="128">
        <f t="shared" si="54"/>
        <v>45908</v>
      </c>
      <c r="AR795" s="128">
        <f t="shared" si="54"/>
        <v>45909</v>
      </c>
      <c r="AS795" s="128">
        <f t="shared" si="54"/>
        <v>45910</v>
      </c>
      <c r="AT795" s="128">
        <f t="shared" si="54"/>
        <v>45911</v>
      </c>
      <c r="AU795" s="128">
        <f t="shared" si="54"/>
        <v>45912</v>
      </c>
      <c r="AV795" s="128">
        <f t="shared" ca="1" si="54"/>
        <v>45912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15</v>
      </c>
      <c r="AD797" s="298">
        <v>15</v>
      </c>
      <c r="AE797" s="298">
        <v>13</v>
      </c>
      <c r="AF797" s="298">
        <v>12</v>
      </c>
      <c r="AG797" s="298">
        <v>18</v>
      </c>
      <c r="AH797" s="298">
        <v>10</v>
      </c>
      <c r="AI797" s="298">
        <v>7</v>
      </c>
      <c r="AJ797" s="298">
        <v>8</v>
      </c>
      <c r="AK797" s="298">
        <v>9</v>
      </c>
      <c r="AL797" s="298">
        <v>10</v>
      </c>
      <c r="AM797" s="298">
        <v>19</v>
      </c>
      <c r="AN797" s="298">
        <v>19</v>
      </c>
      <c r="AO797" s="298">
        <v>4</v>
      </c>
      <c r="AP797" s="298">
        <v>8</v>
      </c>
      <c r="AQ797" s="298">
        <v>17</v>
      </c>
      <c r="AR797" s="298">
        <v>18</v>
      </c>
      <c r="AS797" s="298">
        <v>20</v>
      </c>
      <c r="AT797" s="298">
        <v>3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12</v>
      </c>
      <c r="AD798" s="298">
        <v>12</v>
      </c>
      <c r="AE798" s="298">
        <v>16</v>
      </c>
      <c r="AF798" s="298">
        <v>15</v>
      </c>
      <c r="AG798" s="298">
        <v>15</v>
      </c>
      <c r="AH798" s="298">
        <v>8</v>
      </c>
      <c r="AI798" s="298">
        <v>12</v>
      </c>
      <c r="AJ798" s="298">
        <v>5</v>
      </c>
      <c r="AK798" s="298">
        <v>11</v>
      </c>
      <c r="AL798" s="298">
        <v>19</v>
      </c>
      <c r="AM798" s="298">
        <v>14</v>
      </c>
      <c r="AN798" s="298">
        <v>14</v>
      </c>
      <c r="AO798" s="298">
        <v>8</v>
      </c>
      <c r="AP798" s="298">
        <v>6</v>
      </c>
      <c r="AQ798" s="298">
        <v>11</v>
      </c>
      <c r="AR798" s="298">
        <v>9</v>
      </c>
      <c r="AS798" s="298">
        <v>15</v>
      </c>
      <c r="AT798" s="298">
        <v>1</v>
      </c>
      <c r="AU798" s="298">
        <v>8</v>
      </c>
      <c r="AV798" s="298">
        <f t="shared" si="55"/>
        <v>8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15</v>
      </c>
      <c r="AD799" s="298">
        <v>15</v>
      </c>
      <c r="AE799" s="298">
        <v>10</v>
      </c>
      <c r="AF799" s="298">
        <v>9</v>
      </c>
      <c r="AG799" s="298">
        <v>13</v>
      </c>
      <c r="AH799" s="298">
        <v>4</v>
      </c>
      <c r="AI799" s="298">
        <v>7</v>
      </c>
      <c r="AJ799" s="298">
        <v>11</v>
      </c>
      <c r="AK799" s="298">
        <v>7</v>
      </c>
      <c r="AL799" s="298">
        <v>1</v>
      </c>
      <c r="AM799" s="298">
        <v>4</v>
      </c>
      <c r="AN799" s="298">
        <v>4</v>
      </c>
      <c r="AO799" s="298">
        <v>10</v>
      </c>
      <c r="AP799" s="298">
        <v>13</v>
      </c>
      <c r="AQ799" s="298">
        <v>6</v>
      </c>
      <c r="AR799" s="298">
        <v>13</v>
      </c>
      <c r="AS799" s="298">
        <v>20</v>
      </c>
      <c r="AT799" s="298">
        <v>14</v>
      </c>
      <c r="AU799" s="298">
        <v>7</v>
      </c>
      <c r="AV799" s="298">
        <f t="shared" si="55"/>
        <v>7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12</v>
      </c>
      <c r="AD800" s="298">
        <v>12</v>
      </c>
      <c r="AE800" s="298">
        <v>18</v>
      </c>
      <c r="AF800" s="298">
        <v>17</v>
      </c>
      <c r="AG800" s="298">
        <v>18</v>
      </c>
      <c r="AH800" s="298">
        <v>13</v>
      </c>
      <c r="AI800" s="298">
        <v>7</v>
      </c>
      <c r="AJ800" s="298">
        <v>9</v>
      </c>
      <c r="AK800" s="298">
        <v>3</v>
      </c>
      <c r="AL800" s="298">
        <v>16</v>
      </c>
      <c r="AM800" s="298">
        <v>20</v>
      </c>
      <c r="AN800" s="298">
        <v>20</v>
      </c>
      <c r="AO800" s="298">
        <v>7</v>
      </c>
      <c r="AP800" s="298">
        <v>1</v>
      </c>
      <c r="AQ800" s="298">
        <v>3</v>
      </c>
      <c r="AR800" s="298">
        <v>6</v>
      </c>
      <c r="AS800" s="298">
        <v>20</v>
      </c>
      <c r="AT800" s="298">
        <v>12</v>
      </c>
      <c r="AU800" s="298">
        <v>14</v>
      </c>
      <c r="AV800" s="298">
        <f t="shared" si="55"/>
        <v>14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16</v>
      </c>
      <c r="AD801" s="298">
        <v>16</v>
      </c>
      <c r="AE801" s="298">
        <v>13</v>
      </c>
      <c r="AF801" s="298">
        <v>13</v>
      </c>
      <c r="AG801" s="298">
        <v>11</v>
      </c>
      <c r="AH801" s="298">
        <v>18</v>
      </c>
      <c r="AI801" s="298">
        <v>10</v>
      </c>
      <c r="AJ801" s="298">
        <v>3</v>
      </c>
      <c r="AK801" s="298">
        <v>6</v>
      </c>
      <c r="AL801" s="298">
        <v>20</v>
      </c>
      <c r="AM801" s="298">
        <v>12</v>
      </c>
      <c r="AN801" s="298">
        <v>12</v>
      </c>
      <c r="AO801" s="298">
        <v>3</v>
      </c>
      <c r="AP801" s="298">
        <v>4</v>
      </c>
      <c r="AQ801" s="298">
        <v>17</v>
      </c>
      <c r="AR801" s="298">
        <v>4</v>
      </c>
      <c r="AS801" s="298">
        <v>6</v>
      </c>
      <c r="AT801" s="298">
        <v>17</v>
      </c>
      <c r="AU801" s="298">
        <v>6</v>
      </c>
      <c r="AV801" s="298">
        <f t="shared" si="55"/>
        <v>6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15</v>
      </c>
      <c r="AD802" s="298">
        <v>15</v>
      </c>
      <c r="AE802" s="298">
        <v>11</v>
      </c>
      <c r="AF802" s="298">
        <v>10</v>
      </c>
      <c r="AG802" s="298">
        <v>13</v>
      </c>
      <c r="AH802" s="298">
        <v>12</v>
      </c>
      <c r="AI802" s="298">
        <v>8</v>
      </c>
      <c r="AJ802" s="298">
        <v>3</v>
      </c>
      <c r="AK802" s="298">
        <v>16</v>
      </c>
      <c r="AL802" s="298">
        <v>13</v>
      </c>
      <c r="AM802" s="298">
        <v>20</v>
      </c>
      <c r="AN802" s="298">
        <v>20</v>
      </c>
      <c r="AO802" s="298">
        <v>2</v>
      </c>
      <c r="AP802" s="298">
        <v>2</v>
      </c>
      <c r="AQ802" s="298">
        <v>1</v>
      </c>
      <c r="AR802" s="298">
        <v>9</v>
      </c>
      <c r="AS802" s="298">
        <v>16</v>
      </c>
      <c r="AT802" s="298">
        <v>8</v>
      </c>
      <c r="AU802" s="298">
        <v>11</v>
      </c>
      <c r="AV802" s="298">
        <f t="shared" si="55"/>
        <v>11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12</v>
      </c>
      <c r="AD803" s="298">
        <v>12</v>
      </c>
      <c r="AE803" s="298">
        <v>10</v>
      </c>
      <c r="AF803" s="298">
        <v>9</v>
      </c>
      <c r="AG803" s="298">
        <v>4</v>
      </c>
      <c r="AH803" s="298">
        <v>19</v>
      </c>
      <c r="AI803" s="298">
        <v>11</v>
      </c>
      <c r="AJ803" s="298">
        <v>15</v>
      </c>
      <c r="AK803" s="298">
        <v>16</v>
      </c>
      <c r="AL803" s="298">
        <v>13</v>
      </c>
      <c r="AM803" s="298">
        <v>16</v>
      </c>
      <c r="AN803" s="298">
        <v>16</v>
      </c>
      <c r="AO803" s="298">
        <v>2</v>
      </c>
      <c r="AP803" s="298">
        <v>17</v>
      </c>
      <c r="AQ803" s="298">
        <v>15</v>
      </c>
      <c r="AR803" s="298">
        <v>18</v>
      </c>
      <c r="AS803" s="298">
        <v>19</v>
      </c>
      <c r="AT803" s="298">
        <v>8</v>
      </c>
      <c r="AU803" s="298">
        <v>20</v>
      </c>
      <c r="AV803" s="298">
        <f t="shared" si="55"/>
        <v>20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4</v>
      </c>
      <c r="AD804" s="298">
        <v>4</v>
      </c>
      <c r="AE804" s="298">
        <v>17</v>
      </c>
      <c r="AF804" s="298">
        <v>16</v>
      </c>
      <c r="AG804" s="298">
        <v>14</v>
      </c>
      <c r="AH804" s="298">
        <v>5</v>
      </c>
      <c r="AI804" s="298">
        <v>4</v>
      </c>
      <c r="AJ804" s="298">
        <v>14</v>
      </c>
      <c r="AK804" s="298">
        <v>5</v>
      </c>
      <c r="AL804" s="298">
        <v>10</v>
      </c>
      <c r="AM804" s="298">
        <v>20</v>
      </c>
      <c r="AN804" s="298">
        <v>20</v>
      </c>
      <c r="AO804" s="298">
        <v>4</v>
      </c>
      <c r="AP804" s="298">
        <v>15</v>
      </c>
      <c r="AQ804" s="298">
        <v>17</v>
      </c>
      <c r="AR804" s="298">
        <v>17</v>
      </c>
      <c r="AS804" s="298">
        <v>5</v>
      </c>
      <c r="AT804" s="298">
        <v>2</v>
      </c>
      <c r="AU804" s="298">
        <v>8</v>
      </c>
      <c r="AV804" s="298">
        <f t="shared" si="55"/>
        <v>8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20</v>
      </c>
      <c r="AD805" s="298">
        <v>20</v>
      </c>
      <c r="AE805" s="298">
        <v>10</v>
      </c>
      <c r="AF805" s="298">
        <v>10</v>
      </c>
      <c r="AG805" s="298">
        <v>2</v>
      </c>
      <c r="AH805" s="298">
        <v>14</v>
      </c>
      <c r="AI805" s="298">
        <v>18</v>
      </c>
      <c r="AJ805" s="298">
        <v>18</v>
      </c>
      <c r="AK805" s="298">
        <v>4</v>
      </c>
      <c r="AL805" s="298">
        <v>13</v>
      </c>
      <c r="AM805" s="298">
        <v>15</v>
      </c>
      <c r="AN805" s="298">
        <v>15</v>
      </c>
      <c r="AO805" s="298">
        <v>17</v>
      </c>
      <c r="AP805" s="298">
        <v>11</v>
      </c>
      <c r="AQ805" s="298">
        <v>3</v>
      </c>
      <c r="AR805" s="298">
        <v>5</v>
      </c>
      <c r="AS805" s="298">
        <v>5</v>
      </c>
      <c r="AT805" s="298">
        <v>5</v>
      </c>
      <c r="AU805" s="298">
        <v>6</v>
      </c>
      <c r="AV805" s="298">
        <f t="shared" si="55"/>
        <v>6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17</v>
      </c>
      <c r="AD806" s="298">
        <v>17</v>
      </c>
      <c r="AE806" s="298">
        <v>15</v>
      </c>
      <c r="AF806" s="298">
        <v>14</v>
      </c>
      <c r="AG806" s="298">
        <v>12</v>
      </c>
      <c r="AH806" s="298">
        <v>8</v>
      </c>
      <c r="AI806" s="298">
        <v>4</v>
      </c>
      <c r="AJ806" s="298">
        <v>3</v>
      </c>
      <c r="AK806" s="298">
        <v>8</v>
      </c>
      <c r="AL806" s="298">
        <v>10</v>
      </c>
      <c r="AM806" s="298">
        <v>20</v>
      </c>
      <c r="AN806" s="298">
        <v>20</v>
      </c>
      <c r="AO806" s="298">
        <v>8</v>
      </c>
      <c r="AP806" s="298">
        <v>2</v>
      </c>
      <c r="AQ806" s="298">
        <v>6</v>
      </c>
      <c r="AR806" s="298">
        <v>3</v>
      </c>
      <c r="AS806" s="298">
        <v>11</v>
      </c>
      <c r="AT806" s="298">
        <v>2</v>
      </c>
      <c r="AU806" s="298">
        <v>6</v>
      </c>
      <c r="AV806" s="298">
        <f t="shared" si="55"/>
        <v>6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45.04</v>
      </c>
      <c r="G807" s="271">
        <v>47.850099999999998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48.86</v>
      </c>
      <c r="Z807" s="273">
        <f ca="1">[1]ExtEntry!$N13</f>
        <v>48.86</v>
      </c>
      <c r="AB807" s="298">
        <v>15</v>
      </c>
      <c r="AC807" s="298">
        <v>20</v>
      </c>
      <c r="AD807" s="298">
        <v>20</v>
      </c>
      <c r="AE807" s="298">
        <v>10</v>
      </c>
      <c r="AF807" s="298">
        <v>9</v>
      </c>
      <c r="AG807" s="298">
        <v>6</v>
      </c>
      <c r="AH807" s="298">
        <v>11</v>
      </c>
      <c r="AI807" s="298">
        <v>3</v>
      </c>
      <c r="AJ807" s="298">
        <v>9</v>
      </c>
      <c r="AK807" s="298">
        <v>7</v>
      </c>
      <c r="AL807" s="298">
        <v>14</v>
      </c>
      <c r="AM807" s="298">
        <v>19</v>
      </c>
      <c r="AN807" s="298">
        <v>19</v>
      </c>
      <c r="AO807" s="298">
        <v>13</v>
      </c>
      <c r="AP807" s="298">
        <v>6</v>
      </c>
      <c r="AQ807" s="298">
        <v>9</v>
      </c>
      <c r="AR807" s="298">
        <v>3</v>
      </c>
      <c r="AS807" s="298">
        <v>2</v>
      </c>
      <c r="AT807" s="298">
        <v>16</v>
      </c>
      <c r="AU807" s="298">
        <v>18</v>
      </c>
      <c r="AV807" s="298">
        <f t="shared" si="55"/>
        <v>18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5</v>
      </c>
      <c r="AD808" s="298">
        <v>5</v>
      </c>
      <c r="AE808" s="298">
        <v>9</v>
      </c>
      <c r="AF808" s="298">
        <v>8</v>
      </c>
      <c r="AG808" s="298">
        <v>15</v>
      </c>
      <c r="AH808" s="298">
        <v>14</v>
      </c>
      <c r="AI808" s="298">
        <v>12</v>
      </c>
      <c r="AJ808" s="298">
        <v>11</v>
      </c>
      <c r="AK808" s="298">
        <v>17</v>
      </c>
      <c r="AL808" s="298">
        <v>5</v>
      </c>
      <c r="AM808" s="298">
        <v>6</v>
      </c>
      <c r="AN808" s="298">
        <v>6</v>
      </c>
      <c r="AO808" s="298">
        <v>19</v>
      </c>
      <c r="AP808" s="298">
        <v>11</v>
      </c>
      <c r="AQ808" s="298">
        <v>20</v>
      </c>
      <c r="AR808" s="298">
        <v>3</v>
      </c>
      <c r="AS808" s="298">
        <v>2</v>
      </c>
      <c r="AT808" s="298">
        <v>7</v>
      </c>
      <c r="AU808" s="298">
        <v>14</v>
      </c>
      <c r="AV808" s="298">
        <f t="shared" si="55"/>
        <v>14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7</v>
      </c>
      <c r="AD809" s="298">
        <v>7</v>
      </c>
      <c r="AE809" s="298">
        <v>19</v>
      </c>
      <c r="AF809" s="298">
        <v>18</v>
      </c>
      <c r="AG809" s="298">
        <v>7</v>
      </c>
      <c r="AH809" s="298">
        <v>3</v>
      </c>
      <c r="AI809" s="298">
        <v>10</v>
      </c>
      <c r="AJ809" s="298">
        <v>2</v>
      </c>
      <c r="AK809" s="298">
        <v>19</v>
      </c>
      <c r="AL809" s="298">
        <v>16</v>
      </c>
      <c r="AM809" s="298">
        <v>15</v>
      </c>
      <c r="AN809" s="298">
        <v>15</v>
      </c>
      <c r="AO809" s="298">
        <v>12</v>
      </c>
      <c r="AP809" s="298">
        <v>7</v>
      </c>
      <c r="AQ809" s="298">
        <v>5</v>
      </c>
      <c r="AR809" s="298">
        <v>12</v>
      </c>
      <c r="AS809" s="298">
        <v>5</v>
      </c>
      <c r="AT809" s="298">
        <v>2</v>
      </c>
      <c r="AU809" s="298">
        <v>9</v>
      </c>
      <c r="AV809" s="298">
        <f t="shared" si="55"/>
        <v>9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7</v>
      </c>
      <c r="AD810" s="298">
        <v>7</v>
      </c>
      <c r="AE810" s="298">
        <v>9</v>
      </c>
      <c r="AF810" s="298">
        <v>8</v>
      </c>
      <c r="AG810" s="298">
        <v>5</v>
      </c>
      <c r="AH810" s="298">
        <v>16</v>
      </c>
      <c r="AI810" s="298">
        <v>8</v>
      </c>
      <c r="AJ810" s="298">
        <v>6</v>
      </c>
      <c r="AK810" s="298">
        <v>15</v>
      </c>
      <c r="AL810" s="298">
        <v>6</v>
      </c>
      <c r="AM810" s="298">
        <v>18</v>
      </c>
      <c r="AN810" s="298">
        <v>18</v>
      </c>
      <c r="AO810" s="298">
        <v>18</v>
      </c>
      <c r="AP810" s="298">
        <v>2</v>
      </c>
      <c r="AQ810" s="298">
        <v>5</v>
      </c>
      <c r="AR810" s="298">
        <v>18</v>
      </c>
      <c r="AS810" s="298">
        <v>18</v>
      </c>
      <c r="AT810" s="298">
        <v>3</v>
      </c>
      <c r="AU810" s="298">
        <v>16</v>
      </c>
      <c r="AV810" s="298">
        <f t="shared" si="55"/>
        <v>16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26.25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4</v>
      </c>
      <c r="AF811" s="298">
        <v>3</v>
      </c>
      <c r="AG811" s="298">
        <v>3</v>
      </c>
      <c r="AH811" s="298">
        <v>16</v>
      </c>
      <c r="AI811" s="298">
        <v>16</v>
      </c>
      <c r="AJ811" s="298">
        <v>1</v>
      </c>
      <c r="AK811" s="298">
        <v>7</v>
      </c>
      <c r="AL811" s="298">
        <v>8</v>
      </c>
      <c r="AM811" s="298">
        <v>16</v>
      </c>
      <c r="AN811" s="298">
        <v>16</v>
      </c>
      <c r="AO811" s="298">
        <v>8</v>
      </c>
      <c r="AP811" s="298">
        <v>9</v>
      </c>
      <c r="AQ811" s="298">
        <v>1</v>
      </c>
      <c r="AR811" s="298">
        <v>2</v>
      </c>
      <c r="AS811" s="298">
        <v>19</v>
      </c>
      <c r="AT811" s="298">
        <v>14</v>
      </c>
      <c r="AU811" s="298">
        <v>8</v>
      </c>
      <c r="AV811" s="298">
        <f t="shared" si="55"/>
        <v>8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7</v>
      </c>
      <c r="AD812" s="298">
        <v>7</v>
      </c>
      <c r="AE812" s="298">
        <v>3</v>
      </c>
      <c r="AF812" s="298">
        <v>2</v>
      </c>
      <c r="AG812" s="298">
        <v>7</v>
      </c>
      <c r="AH812" s="298">
        <v>18</v>
      </c>
      <c r="AI812" s="298">
        <v>7</v>
      </c>
      <c r="AJ812" s="298">
        <v>13</v>
      </c>
      <c r="AK812" s="298">
        <v>18</v>
      </c>
      <c r="AL812" s="298">
        <v>6</v>
      </c>
      <c r="AM812" s="298">
        <v>17</v>
      </c>
      <c r="AN812" s="298">
        <v>17</v>
      </c>
      <c r="AO812" s="298">
        <v>12</v>
      </c>
      <c r="AP812" s="298">
        <v>12</v>
      </c>
      <c r="AQ812" s="298">
        <v>20</v>
      </c>
      <c r="AR812" s="298">
        <v>5</v>
      </c>
      <c r="AS812" s="298">
        <v>20</v>
      </c>
      <c r="AT812" s="298">
        <v>7</v>
      </c>
      <c r="AU812" s="298">
        <v>10</v>
      </c>
      <c r="AV812" s="298">
        <f t="shared" si="55"/>
        <v>10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5</v>
      </c>
      <c r="AD813" s="298">
        <v>5</v>
      </c>
      <c r="AE813" s="298">
        <v>7</v>
      </c>
      <c r="AF813" s="298">
        <v>6</v>
      </c>
      <c r="AG813" s="298">
        <v>14</v>
      </c>
      <c r="AH813" s="298">
        <v>13</v>
      </c>
      <c r="AI813" s="298">
        <v>6</v>
      </c>
      <c r="AJ813" s="298">
        <v>4</v>
      </c>
      <c r="AK813" s="298">
        <v>13</v>
      </c>
      <c r="AL813" s="298">
        <v>3</v>
      </c>
      <c r="AM813" s="298">
        <v>18</v>
      </c>
      <c r="AN813" s="298">
        <v>18</v>
      </c>
      <c r="AO813" s="298">
        <v>13</v>
      </c>
      <c r="AP813" s="298">
        <v>12</v>
      </c>
      <c r="AQ813" s="298">
        <v>14</v>
      </c>
      <c r="AR813" s="298">
        <v>17</v>
      </c>
      <c r="AS813" s="298">
        <v>16</v>
      </c>
      <c r="AT813" s="298">
        <v>2</v>
      </c>
      <c r="AU813" s="298">
        <v>20</v>
      </c>
      <c r="AV813" s="298">
        <f t="shared" si="55"/>
        <v>20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17</v>
      </c>
      <c r="AD814" s="298">
        <v>17</v>
      </c>
      <c r="AE814" s="298">
        <v>14</v>
      </c>
      <c r="AF814" s="298">
        <v>14</v>
      </c>
      <c r="AG814" s="298">
        <v>16</v>
      </c>
      <c r="AH814" s="298">
        <v>9</v>
      </c>
      <c r="AI814" s="298">
        <v>3</v>
      </c>
      <c r="AJ814" s="298">
        <v>6</v>
      </c>
      <c r="AK814" s="298">
        <v>18</v>
      </c>
      <c r="AL814" s="298">
        <v>17</v>
      </c>
      <c r="AM814" s="298">
        <v>20</v>
      </c>
      <c r="AN814" s="298">
        <v>20</v>
      </c>
      <c r="AO814" s="298">
        <v>13</v>
      </c>
      <c r="AP814" s="298">
        <v>4</v>
      </c>
      <c r="AQ814" s="298">
        <v>3</v>
      </c>
      <c r="AR814" s="298">
        <v>10</v>
      </c>
      <c r="AS814" s="298">
        <v>7</v>
      </c>
      <c r="AT814" s="298">
        <v>10</v>
      </c>
      <c r="AU814" s="298">
        <v>1</v>
      </c>
      <c r="AV814" s="298">
        <f t="shared" si="55"/>
        <v>1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0.1741</v>
      </c>
      <c r="M815" s="271">
        <v>0.17330000000000001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16</v>
      </c>
      <c r="AD815" s="298">
        <v>16</v>
      </c>
      <c r="AE815" s="298">
        <v>6</v>
      </c>
      <c r="AF815" s="298">
        <v>5</v>
      </c>
      <c r="AG815" s="298">
        <v>2</v>
      </c>
      <c r="AH815" s="298">
        <v>1</v>
      </c>
      <c r="AI815" s="298">
        <v>20</v>
      </c>
      <c r="AJ815" s="298">
        <v>19</v>
      </c>
      <c r="AK815" s="298">
        <v>18</v>
      </c>
      <c r="AL815" s="298">
        <v>2</v>
      </c>
      <c r="AM815" s="298">
        <v>17</v>
      </c>
      <c r="AN815" s="298">
        <v>17</v>
      </c>
      <c r="AO815" s="298">
        <v>16</v>
      </c>
      <c r="AP815" s="298">
        <v>16</v>
      </c>
      <c r="AQ815" s="298">
        <v>3</v>
      </c>
      <c r="AR815" s="298">
        <v>4</v>
      </c>
      <c r="AS815" s="298">
        <v>19</v>
      </c>
      <c r="AT815" s="298">
        <v>9</v>
      </c>
      <c r="AU815" s="298">
        <v>13</v>
      </c>
      <c r="AV815" s="298">
        <f t="shared" si="55"/>
        <v>13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11</v>
      </c>
      <c r="AD816" s="298">
        <v>11</v>
      </c>
      <c r="AE816" s="298">
        <v>5</v>
      </c>
      <c r="AF816" s="298">
        <v>4</v>
      </c>
      <c r="AG816" s="298">
        <v>18</v>
      </c>
      <c r="AH816" s="298">
        <v>15</v>
      </c>
      <c r="AI816" s="298">
        <v>7</v>
      </c>
      <c r="AJ816" s="298">
        <v>14</v>
      </c>
      <c r="AK816" s="298">
        <v>18</v>
      </c>
      <c r="AL816" s="298">
        <v>12</v>
      </c>
      <c r="AM816" s="298">
        <v>19</v>
      </c>
      <c r="AN816" s="298">
        <v>19</v>
      </c>
      <c r="AO816" s="298">
        <v>17</v>
      </c>
      <c r="AP816" s="298">
        <v>7</v>
      </c>
      <c r="AQ816" s="298">
        <v>13</v>
      </c>
      <c r="AR816" s="298">
        <v>15</v>
      </c>
      <c r="AS816" s="298">
        <v>18</v>
      </c>
      <c r="AT816" s="298">
        <v>2</v>
      </c>
      <c r="AU816" s="298">
        <v>14</v>
      </c>
      <c r="AV816" s="298">
        <f t="shared" si="55"/>
        <v>14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12</v>
      </c>
      <c r="AD817" s="298">
        <v>12</v>
      </c>
      <c r="AE817" s="298">
        <v>14</v>
      </c>
      <c r="AF817" s="298">
        <v>13</v>
      </c>
      <c r="AG817" s="298">
        <v>17</v>
      </c>
      <c r="AH817" s="298">
        <v>7</v>
      </c>
      <c r="AI817" s="298">
        <v>10</v>
      </c>
      <c r="AJ817" s="298">
        <v>5</v>
      </c>
      <c r="AK817" s="298">
        <v>2</v>
      </c>
      <c r="AL817" s="298">
        <v>19</v>
      </c>
      <c r="AM817" s="298">
        <v>16</v>
      </c>
      <c r="AN817" s="298">
        <v>16</v>
      </c>
      <c r="AO817" s="298">
        <v>10</v>
      </c>
      <c r="AP817" s="298">
        <v>4</v>
      </c>
      <c r="AQ817" s="298">
        <v>10</v>
      </c>
      <c r="AR817" s="298">
        <v>3</v>
      </c>
      <c r="AS817" s="298">
        <v>2</v>
      </c>
      <c r="AT817" s="298">
        <v>3</v>
      </c>
      <c r="AU817" s="298">
        <v>14</v>
      </c>
      <c r="AV817" s="298">
        <f t="shared" si="55"/>
        <v>14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12</v>
      </c>
      <c r="AD818" s="298">
        <v>12</v>
      </c>
      <c r="AE818" s="298">
        <v>5</v>
      </c>
      <c r="AF818" s="298">
        <v>4</v>
      </c>
      <c r="AG818" s="298">
        <v>18</v>
      </c>
      <c r="AH818" s="298">
        <v>13</v>
      </c>
      <c r="AI818" s="298">
        <v>17</v>
      </c>
      <c r="AJ818" s="298">
        <v>9</v>
      </c>
      <c r="AK818" s="298">
        <v>3</v>
      </c>
      <c r="AL818" s="298">
        <v>9</v>
      </c>
      <c r="AM818" s="298">
        <v>16</v>
      </c>
      <c r="AN818" s="298">
        <v>16</v>
      </c>
      <c r="AO818" s="298">
        <v>15</v>
      </c>
      <c r="AP818" s="298">
        <v>8</v>
      </c>
      <c r="AQ818" s="298">
        <v>11</v>
      </c>
      <c r="AR818" s="298">
        <v>15</v>
      </c>
      <c r="AS818" s="298">
        <v>17</v>
      </c>
      <c r="AT818" s="298">
        <v>10</v>
      </c>
      <c r="AU818" s="298">
        <v>17</v>
      </c>
      <c r="AV818" s="298">
        <f t="shared" si="55"/>
        <v>17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170.45</v>
      </c>
      <c r="J819" s="271">
        <v>170.45</v>
      </c>
      <c r="K819" s="271">
        <v>170.45</v>
      </c>
      <c r="L819" s="271">
        <v>178.15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180.6</v>
      </c>
      <c r="R819" s="271">
        <v>180.6</v>
      </c>
      <c r="S819" s="271">
        <v>180.6</v>
      </c>
      <c r="T819" s="271">
        <v>180.6</v>
      </c>
      <c r="U819" s="271">
        <v>187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7</v>
      </c>
      <c r="AD819" s="298">
        <v>7</v>
      </c>
      <c r="AE819" s="298">
        <v>4</v>
      </c>
      <c r="AF819" s="298">
        <v>4</v>
      </c>
      <c r="AG819" s="298">
        <v>17</v>
      </c>
      <c r="AH819" s="298">
        <v>3</v>
      </c>
      <c r="AI819" s="298">
        <v>16</v>
      </c>
      <c r="AJ819" s="298">
        <v>20</v>
      </c>
      <c r="AK819" s="298">
        <v>3</v>
      </c>
      <c r="AL819" s="298">
        <v>3</v>
      </c>
      <c r="AM819" s="298">
        <v>20</v>
      </c>
      <c r="AN819" s="298">
        <v>20</v>
      </c>
      <c r="AO819" s="298">
        <v>2</v>
      </c>
      <c r="AP819" s="298">
        <v>10</v>
      </c>
      <c r="AQ819" s="298">
        <v>8</v>
      </c>
      <c r="AR819" s="298">
        <v>8</v>
      </c>
      <c r="AS819" s="298">
        <v>20</v>
      </c>
      <c r="AT819" s="298">
        <v>12</v>
      </c>
      <c r="AU819" s="298">
        <v>14</v>
      </c>
      <c r="AV819" s="298">
        <f t="shared" si="55"/>
        <v>14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51.52</v>
      </c>
      <c r="Z820" s="273">
        <f ca="1">[1]ExtEntry!$N26</f>
        <v>51.52</v>
      </c>
      <c r="AB820" s="298">
        <v>20</v>
      </c>
      <c r="AC820" s="298">
        <v>5</v>
      </c>
      <c r="AD820" s="298">
        <v>5</v>
      </c>
      <c r="AE820" s="298">
        <v>4</v>
      </c>
      <c r="AF820" s="298">
        <v>4</v>
      </c>
      <c r="AG820" s="298">
        <v>3</v>
      </c>
      <c r="AH820" s="298">
        <v>9</v>
      </c>
      <c r="AI820" s="298">
        <v>19</v>
      </c>
      <c r="AJ820" s="298">
        <v>18</v>
      </c>
      <c r="AK820" s="298">
        <v>19</v>
      </c>
      <c r="AL820" s="298">
        <v>10</v>
      </c>
      <c r="AM820" s="298">
        <v>5</v>
      </c>
      <c r="AN820" s="298">
        <v>5</v>
      </c>
      <c r="AO820" s="298">
        <v>19</v>
      </c>
      <c r="AP820" s="298">
        <v>12</v>
      </c>
      <c r="AQ820" s="298">
        <v>10</v>
      </c>
      <c r="AR820" s="298">
        <v>11</v>
      </c>
      <c r="AS820" s="298">
        <v>13</v>
      </c>
      <c r="AT820" s="298">
        <v>10</v>
      </c>
      <c r="AU820" s="298">
        <v>1</v>
      </c>
      <c r="AV820" s="298">
        <f t="shared" si="55"/>
        <v>1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2</v>
      </c>
      <c r="AD821" s="298">
        <v>2</v>
      </c>
      <c r="AE821" s="298">
        <v>16</v>
      </c>
      <c r="AF821" s="298">
        <v>15</v>
      </c>
      <c r="AG821" s="298">
        <v>9</v>
      </c>
      <c r="AH821" s="298">
        <v>17</v>
      </c>
      <c r="AI821" s="298">
        <v>12</v>
      </c>
      <c r="AJ821" s="298">
        <v>20</v>
      </c>
      <c r="AK821" s="298">
        <v>12</v>
      </c>
      <c r="AL821" s="298">
        <v>3</v>
      </c>
      <c r="AM821" s="298">
        <v>15</v>
      </c>
      <c r="AN821" s="298">
        <v>15</v>
      </c>
      <c r="AO821" s="298">
        <v>11</v>
      </c>
      <c r="AP821" s="298">
        <v>3</v>
      </c>
      <c r="AQ821" s="298">
        <v>1</v>
      </c>
      <c r="AR821" s="298">
        <v>14</v>
      </c>
      <c r="AS821" s="298">
        <v>10</v>
      </c>
      <c r="AT821" s="298">
        <v>8</v>
      </c>
      <c r="AU821" s="298">
        <v>1</v>
      </c>
      <c r="AV821" s="298">
        <f t="shared" si="55"/>
        <v>1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7</v>
      </c>
      <c r="AD822" s="298">
        <v>7</v>
      </c>
      <c r="AE822" s="298">
        <v>15</v>
      </c>
      <c r="AF822" s="298">
        <v>14</v>
      </c>
      <c r="AG822" s="298">
        <v>17</v>
      </c>
      <c r="AH822" s="298">
        <v>7</v>
      </c>
      <c r="AI822" s="298">
        <v>11</v>
      </c>
      <c r="AJ822" s="298">
        <v>1</v>
      </c>
      <c r="AK822" s="298">
        <v>16</v>
      </c>
      <c r="AL822" s="298">
        <v>13</v>
      </c>
      <c r="AM822" s="298">
        <v>20</v>
      </c>
      <c r="AN822" s="298">
        <v>20</v>
      </c>
      <c r="AO822" s="298">
        <v>12</v>
      </c>
      <c r="AP822" s="298">
        <v>4</v>
      </c>
      <c r="AQ822" s="298">
        <v>2</v>
      </c>
      <c r="AR822" s="298">
        <v>2</v>
      </c>
      <c r="AS822" s="298">
        <v>3</v>
      </c>
      <c r="AT822" s="298">
        <v>12</v>
      </c>
      <c r="AU822" s="298">
        <v>10</v>
      </c>
      <c r="AV822" s="298">
        <f t="shared" si="55"/>
        <v>10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8</v>
      </c>
      <c r="AF823" s="298">
        <v>7</v>
      </c>
      <c r="AG823" s="298">
        <v>17</v>
      </c>
      <c r="AH823" s="298">
        <v>17</v>
      </c>
      <c r="AI823" s="298">
        <v>13</v>
      </c>
      <c r="AJ823" s="298">
        <v>4</v>
      </c>
      <c r="AK823" s="298">
        <v>15</v>
      </c>
      <c r="AL823" s="298">
        <v>12</v>
      </c>
      <c r="AM823" s="298">
        <v>16</v>
      </c>
      <c r="AN823" s="298">
        <v>16</v>
      </c>
      <c r="AO823" s="298">
        <v>5</v>
      </c>
      <c r="AP823" s="298">
        <v>4</v>
      </c>
      <c r="AQ823" s="298">
        <v>12</v>
      </c>
      <c r="AR823" s="298">
        <v>13</v>
      </c>
      <c r="AS823" s="298">
        <v>11</v>
      </c>
      <c r="AT823" s="298">
        <v>1</v>
      </c>
      <c r="AU823" s="298">
        <v>20</v>
      </c>
      <c r="AV823" s="298">
        <f t="shared" si="55"/>
        <v>20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11</v>
      </c>
      <c r="AD824" s="298">
        <v>11</v>
      </c>
      <c r="AE824" s="298">
        <v>18</v>
      </c>
      <c r="AF824" s="298">
        <v>17</v>
      </c>
      <c r="AG824" s="298">
        <v>13</v>
      </c>
      <c r="AH824" s="298">
        <v>12</v>
      </c>
      <c r="AI824" s="298">
        <v>10</v>
      </c>
      <c r="AJ824" s="298">
        <v>4</v>
      </c>
      <c r="AK824" s="298">
        <v>6</v>
      </c>
      <c r="AL824" s="298">
        <v>12</v>
      </c>
      <c r="AM824" s="298">
        <v>16</v>
      </c>
      <c r="AN824" s="298">
        <v>16</v>
      </c>
      <c r="AO824" s="298">
        <v>7</v>
      </c>
      <c r="AP824" s="298">
        <v>4</v>
      </c>
      <c r="AQ824" s="298">
        <v>4</v>
      </c>
      <c r="AR824" s="298">
        <v>10</v>
      </c>
      <c r="AS824" s="298">
        <v>6</v>
      </c>
      <c r="AT824" s="298">
        <v>7</v>
      </c>
      <c r="AU824" s="298">
        <v>1</v>
      </c>
      <c r="AV824" s="298">
        <f t="shared" si="55"/>
        <v>1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4</v>
      </c>
      <c r="AD825" s="298">
        <v>4</v>
      </c>
      <c r="AE825" s="298">
        <v>4</v>
      </c>
      <c r="AF825" s="298">
        <v>4</v>
      </c>
      <c r="AG825" s="298">
        <v>12</v>
      </c>
      <c r="AH825" s="298">
        <v>19</v>
      </c>
      <c r="AI825" s="298">
        <v>13</v>
      </c>
      <c r="AJ825" s="298">
        <v>19</v>
      </c>
      <c r="AK825" s="298">
        <v>12</v>
      </c>
      <c r="AL825" s="298">
        <v>10</v>
      </c>
      <c r="AM825" s="298">
        <v>10</v>
      </c>
      <c r="AN825" s="298">
        <v>10</v>
      </c>
      <c r="AO825" s="298">
        <v>20</v>
      </c>
      <c r="AP825" s="298">
        <v>15</v>
      </c>
      <c r="AQ825" s="298">
        <v>20</v>
      </c>
      <c r="AR825" s="298">
        <v>4</v>
      </c>
      <c r="AS825" s="298">
        <v>1</v>
      </c>
      <c r="AT825" s="298">
        <v>5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7</v>
      </c>
      <c r="AD826" s="298">
        <v>7</v>
      </c>
      <c r="AE826" s="298">
        <v>18</v>
      </c>
      <c r="AF826" s="298">
        <v>17</v>
      </c>
      <c r="AG826" s="298">
        <v>3</v>
      </c>
      <c r="AH826" s="298">
        <v>9</v>
      </c>
      <c r="AI826" s="298">
        <v>3</v>
      </c>
      <c r="AJ826" s="298">
        <v>13</v>
      </c>
      <c r="AK826" s="298">
        <v>10</v>
      </c>
      <c r="AL826" s="298">
        <v>3</v>
      </c>
      <c r="AM826" s="298">
        <v>3</v>
      </c>
      <c r="AN826" s="298">
        <v>3</v>
      </c>
      <c r="AO826" s="298">
        <v>9</v>
      </c>
      <c r="AP826" s="298">
        <v>15</v>
      </c>
      <c r="AQ826" s="298">
        <v>17</v>
      </c>
      <c r="AR826" s="298">
        <v>9</v>
      </c>
      <c r="AS826" s="298">
        <v>1</v>
      </c>
      <c r="AT826" s="298">
        <v>6</v>
      </c>
      <c r="AU826" s="298">
        <v>15</v>
      </c>
      <c r="AV826" s="298">
        <f t="shared" si="55"/>
        <v>15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648.70000000000005</v>
      </c>
      <c r="G827" s="271">
        <v>659.8</v>
      </c>
      <c r="H827" s="271">
        <v>660.8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677.88</v>
      </c>
      <c r="Z827" s="273">
        <f ca="1">[1]ExtEntry!$N33</f>
        <v>677.88</v>
      </c>
      <c r="AB827" s="298">
        <v>13</v>
      </c>
      <c r="AC827" s="298">
        <v>7</v>
      </c>
      <c r="AD827" s="298">
        <v>7</v>
      </c>
      <c r="AE827" s="298">
        <v>20</v>
      </c>
      <c r="AF827" s="298">
        <v>19</v>
      </c>
      <c r="AG827" s="298">
        <v>11</v>
      </c>
      <c r="AH827" s="298">
        <v>6</v>
      </c>
      <c r="AI827" s="298">
        <v>8</v>
      </c>
      <c r="AJ827" s="298">
        <v>13</v>
      </c>
      <c r="AK827" s="298">
        <v>11</v>
      </c>
      <c r="AL827" s="298">
        <v>17</v>
      </c>
      <c r="AM827" s="298">
        <v>15</v>
      </c>
      <c r="AN827" s="298">
        <v>15</v>
      </c>
      <c r="AO827" s="298">
        <v>13</v>
      </c>
      <c r="AP827" s="298">
        <v>2</v>
      </c>
      <c r="AQ827" s="298">
        <v>12</v>
      </c>
      <c r="AR827" s="298">
        <v>3</v>
      </c>
      <c r="AS827" s="298">
        <v>17</v>
      </c>
      <c r="AT827" s="298">
        <v>20</v>
      </c>
      <c r="AU827" s="298">
        <v>16</v>
      </c>
      <c r="AV827" s="298">
        <f t="shared" si="55"/>
        <v>16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0.41099999999999998</v>
      </c>
      <c r="M828" s="271">
        <v>0.40510000000000002</v>
      </c>
      <c r="N828" s="271">
        <v>0.40510000000000002</v>
      </c>
      <c r="O828" s="271">
        <v>0.40510000000000002</v>
      </c>
      <c r="P828" s="271">
        <v>0.40310000000000001</v>
      </c>
      <c r="Q828" s="271">
        <v>4.5999999999999996</v>
      </c>
      <c r="R828" s="271">
        <v>4.5704000000000002</v>
      </c>
      <c r="S828" s="271">
        <v>4.5704000000000002</v>
      </c>
      <c r="T828" s="271">
        <v>3.8300999999999998</v>
      </c>
      <c r="U828" s="271">
        <v>3.8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7</v>
      </c>
      <c r="AD828" s="298">
        <v>7</v>
      </c>
      <c r="AE828" s="298">
        <v>14</v>
      </c>
      <c r="AF828" s="298">
        <v>14</v>
      </c>
      <c r="AG828" s="298">
        <v>19</v>
      </c>
      <c r="AH828" s="298">
        <v>20</v>
      </c>
      <c r="AI828" s="298">
        <v>15</v>
      </c>
      <c r="AJ828" s="298">
        <v>3</v>
      </c>
      <c r="AK828" s="298">
        <v>10</v>
      </c>
      <c r="AL828" s="298">
        <v>7</v>
      </c>
      <c r="AM828" s="298">
        <v>19</v>
      </c>
      <c r="AN828" s="298">
        <v>19</v>
      </c>
      <c r="AO828" s="298">
        <v>8</v>
      </c>
      <c r="AP828" s="298">
        <v>19</v>
      </c>
      <c r="AQ828" s="298">
        <v>1</v>
      </c>
      <c r="AR828" s="298">
        <v>2</v>
      </c>
      <c r="AS828" s="298">
        <v>2</v>
      </c>
      <c r="AT828" s="298">
        <v>9</v>
      </c>
      <c r="AU828" s="298">
        <v>18</v>
      </c>
      <c r="AV828" s="298">
        <f t="shared" si="55"/>
        <v>18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18.71</v>
      </c>
      <c r="Y829" s="271">
        <v>19.78</v>
      </c>
      <c r="Z829" s="273">
        <f ca="1">[1]ExtEntry!$N35</f>
        <v>19.78</v>
      </c>
      <c r="AB829" s="298">
        <v>18</v>
      </c>
      <c r="AC829" s="298">
        <v>7</v>
      </c>
      <c r="AD829" s="298">
        <v>7</v>
      </c>
      <c r="AE829" s="298">
        <v>19</v>
      </c>
      <c r="AF829" s="298">
        <v>18</v>
      </c>
      <c r="AG829" s="298">
        <v>3</v>
      </c>
      <c r="AH829" s="298">
        <v>12</v>
      </c>
      <c r="AI829" s="298">
        <v>4</v>
      </c>
      <c r="AJ829" s="298">
        <v>12</v>
      </c>
      <c r="AK829" s="298">
        <v>17</v>
      </c>
      <c r="AL829" s="298">
        <v>3</v>
      </c>
      <c r="AM829" s="298">
        <v>6</v>
      </c>
      <c r="AN829" s="298">
        <v>6</v>
      </c>
      <c r="AO829" s="298">
        <v>11</v>
      </c>
      <c r="AP829" s="298">
        <v>17</v>
      </c>
      <c r="AQ829" s="298">
        <v>1</v>
      </c>
      <c r="AR829" s="298">
        <v>13</v>
      </c>
      <c r="AS829" s="298">
        <v>3</v>
      </c>
      <c r="AT829" s="298">
        <v>7</v>
      </c>
      <c r="AU829" s="298">
        <v>11</v>
      </c>
      <c r="AV829" s="298">
        <f t="shared" ref="AV829:AV860" si="57">_xlfn.RANK.EQ(Y730,F730:Y730)</f>
        <v>11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3.76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20</v>
      </c>
      <c r="AD830" s="298">
        <v>20</v>
      </c>
      <c r="AE830" s="298">
        <v>18</v>
      </c>
      <c r="AF830" s="298">
        <v>17</v>
      </c>
      <c r="AG830" s="298">
        <v>4</v>
      </c>
      <c r="AH830" s="298">
        <v>16</v>
      </c>
      <c r="AI830" s="298">
        <v>19</v>
      </c>
      <c r="AJ830" s="298">
        <v>7</v>
      </c>
      <c r="AK830" s="298">
        <v>9</v>
      </c>
      <c r="AL830" s="298">
        <v>13</v>
      </c>
      <c r="AM830" s="298">
        <v>11</v>
      </c>
      <c r="AN830" s="298">
        <v>11</v>
      </c>
      <c r="AO830" s="298">
        <v>11</v>
      </c>
      <c r="AP830" s="298">
        <v>3</v>
      </c>
      <c r="AQ830" s="298">
        <v>11</v>
      </c>
      <c r="AR830" s="298">
        <v>12</v>
      </c>
      <c r="AS830" s="298">
        <v>19</v>
      </c>
      <c r="AT830" s="298">
        <v>2</v>
      </c>
      <c r="AU830" s="298">
        <v>3</v>
      </c>
      <c r="AV830" s="298">
        <f t="shared" si="57"/>
        <v>3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2.52</v>
      </c>
      <c r="G831" s="271">
        <v>2.625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2.7501000000000002</v>
      </c>
      <c r="V831" s="271">
        <v>2.7501000000000002</v>
      </c>
      <c r="W831" s="271">
        <v>2.78</v>
      </c>
      <c r="X831" s="271">
        <v>2.83</v>
      </c>
      <c r="Y831" s="271">
        <v>2.91</v>
      </c>
      <c r="Z831" s="273">
        <f ca="1">[1]ExtEntry!$N37</f>
        <v>2.91</v>
      </c>
      <c r="AB831" s="298">
        <v>7</v>
      </c>
      <c r="AC831" s="298">
        <v>10</v>
      </c>
      <c r="AD831" s="298">
        <v>10</v>
      </c>
      <c r="AE831" s="298">
        <v>14</v>
      </c>
      <c r="AF831" s="298">
        <v>13</v>
      </c>
      <c r="AG831" s="298">
        <v>4</v>
      </c>
      <c r="AH831" s="298">
        <v>7</v>
      </c>
      <c r="AI831" s="298">
        <v>3</v>
      </c>
      <c r="AJ831" s="298">
        <v>9</v>
      </c>
      <c r="AK831" s="298">
        <v>2</v>
      </c>
      <c r="AL831" s="298">
        <v>18</v>
      </c>
      <c r="AM831" s="298">
        <v>16</v>
      </c>
      <c r="AN831" s="298">
        <v>16</v>
      </c>
      <c r="AO831" s="298">
        <v>11</v>
      </c>
      <c r="AP831" s="298">
        <v>1</v>
      </c>
      <c r="AQ831" s="298">
        <v>4</v>
      </c>
      <c r="AR831" s="298">
        <v>9</v>
      </c>
      <c r="AS831" s="298">
        <v>1</v>
      </c>
      <c r="AT831" s="298">
        <v>17</v>
      </c>
      <c r="AU831" s="298">
        <v>11</v>
      </c>
      <c r="AV831" s="298">
        <f t="shared" si="57"/>
        <v>11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20</v>
      </c>
      <c r="AD832" s="298">
        <v>20</v>
      </c>
      <c r="AE832" s="298">
        <v>10</v>
      </c>
      <c r="AF832" s="298">
        <v>9</v>
      </c>
      <c r="AG832" s="298">
        <v>2</v>
      </c>
      <c r="AH832" s="298">
        <v>19</v>
      </c>
      <c r="AI832" s="298">
        <v>10</v>
      </c>
      <c r="AJ832" s="298">
        <v>2</v>
      </c>
      <c r="AK832" s="298">
        <v>6</v>
      </c>
      <c r="AL832" s="298">
        <v>18</v>
      </c>
      <c r="AM832" s="298">
        <v>20</v>
      </c>
      <c r="AN832" s="298">
        <v>20</v>
      </c>
      <c r="AO832" s="298">
        <v>20</v>
      </c>
      <c r="AP832" s="298">
        <v>20</v>
      </c>
      <c r="AQ832" s="298">
        <v>13</v>
      </c>
      <c r="AR832" s="298">
        <v>10</v>
      </c>
      <c r="AS832" s="298">
        <v>8</v>
      </c>
      <c r="AT832" s="298">
        <v>7</v>
      </c>
      <c r="AU832" s="298">
        <v>8</v>
      </c>
      <c r="AV832" s="298">
        <f t="shared" si="57"/>
        <v>8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11.79</v>
      </c>
      <c r="G833" s="271">
        <v>11.88</v>
      </c>
      <c r="H833" s="271">
        <v>11.955</v>
      </c>
      <c r="I833" s="271">
        <v>11.955</v>
      </c>
      <c r="J833" s="271">
        <v>11.955</v>
      </c>
      <c r="K833" s="271">
        <v>12</v>
      </c>
      <c r="L833" s="271">
        <v>12.04</v>
      </c>
      <c r="M833" s="271">
        <v>12.04</v>
      </c>
      <c r="N833" s="271">
        <v>12.395</v>
      </c>
      <c r="O833" s="271">
        <v>12.395</v>
      </c>
      <c r="P833" s="271">
        <v>12.66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12.76</v>
      </c>
      <c r="Z833" s="273">
        <f ca="1">[1]ExtEntry!$N39</f>
        <v>12.76</v>
      </c>
      <c r="AB833" s="298">
        <v>3</v>
      </c>
      <c r="AC833" s="298">
        <v>14</v>
      </c>
      <c r="AD833" s="298">
        <v>14</v>
      </c>
      <c r="AE833" s="298">
        <v>19</v>
      </c>
      <c r="AF833" s="298">
        <v>18</v>
      </c>
      <c r="AG833" s="298">
        <v>4</v>
      </c>
      <c r="AH833" s="298">
        <v>20</v>
      </c>
      <c r="AI833" s="298">
        <v>13</v>
      </c>
      <c r="AJ833" s="298">
        <v>20</v>
      </c>
      <c r="AK833" s="298">
        <v>15</v>
      </c>
      <c r="AL833" s="298">
        <v>16</v>
      </c>
      <c r="AM833" s="298">
        <v>14</v>
      </c>
      <c r="AN833" s="298">
        <v>14</v>
      </c>
      <c r="AO833" s="298">
        <v>10</v>
      </c>
      <c r="AP833" s="298">
        <v>12</v>
      </c>
      <c r="AQ833" s="298">
        <v>15</v>
      </c>
      <c r="AR833" s="298">
        <v>20</v>
      </c>
      <c r="AS833" s="298">
        <v>9</v>
      </c>
      <c r="AT833" s="298">
        <v>3</v>
      </c>
      <c r="AU833" s="298">
        <v>12</v>
      </c>
      <c r="AV833" s="298">
        <f t="shared" si="57"/>
        <v>12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2</v>
      </c>
      <c r="AD834" s="298">
        <v>2</v>
      </c>
      <c r="AE834" s="298">
        <v>6</v>
      </c>
      <c r="AF834" s="298">
        <v>6</v>
      </c>
      <c r="AG834" s="298">
        <v>6</v>
      </c>
      <c r="AH834" s="298">
        <v>17</v>
      </c>
      <c r="AI834" s="298">
        <v>16</v>
      </c>
      <c r="AJ834" s="298">
        <v>11</v>
      </c>
      <c r="AK834" s="298">
        <v>15</v>
      </c>
      <c r="AL834" s="298">
        <v>4</v>
      </c>
      <c r="AM834" s="298">
        <v>19</v>
      </c>
      <c r="AN834" s="298">
        <v>19</v>
      </c>
      <c r="AO834" s="298">
        <v>12</v>
      </c>
      <c r="AP834" s="298">
        <v>5</v>
      </c>
      <c r="AQ834" s="298">
        <v>2</v>
      </c>
      <c r="AR834" s="298">
        <v>14</v>
      </c>
      <c r="AS834" s="298">
        <v>7</v>
      </c>
      <c r="AT834" s="298">
        <v>14</v>
      </c>
      <c r="AU834" s="298">
        <v>7</v>
      </c>
      <c r="AV834" s="298">
        <f t="shared" si="57"/>
        <v>7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190.04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191.54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11</v>
      </c>
      <c r="AD835" s="298">
        <v>11</v>
      </c>
      <c r="AE835" s="298">
        <v>9</v>
      </c>
      <c r="AF835" s="298">
        <v>8</v>
      </c>
      <c r="AG835" s="298">
        <v>16</v>
      </c>
      <c r="AH835" s="298">
        <v>8</v>
      </c>
      <c r="AI835" s="298">
        <v>14</v>
      </c>
      <c r="AJ835" s="298">
        <v>3</v>
      </c>
      <c r="AK835" s="298">
        <v>11</v>
      </c>
      <c r="AL835" s="298">
        <v>6</v>
      </c>
      <c r="AM835" s="298">
        <v>19</v>
      </c>
      <c r="AN835" s="298">
        <v>19</v>
      </c>
      <c r="AO835" s="298">
        <v>4</v>
      </c>
      <c r="AP835" s="298">
        <v>15</v>
      </c>
      <c r="AQ835" s="298">
        <v>5</v>
      </c>
      <c r="AR835" s="298">
        <v>12</v>
      </c>
      <c r="AS835" s="298">
        <v>19</v>
      </c>
      <c r="AT835" s="298">
        <v>18</v>
      </c>
      <c r="AU835" s="298">
        <v>6</v>
      </c>
      <c r="AV835" s="298">
        <f t="shared" si="57"/>
        <v>6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3</v>
      </c>
      <c r="AD836" s="298">
        <v>3</v>
      </c>
      <c r="AE836" s="298">
        <v>12</v>
      </c>
      <c r="AF836" s="298">
        <v>11</v>
      </c>
      <c r="AG836" s="298">
        <v>8</v>
      </c>
      <c r="AH836" s="298">
        <v>7</v>
      </c>
      <c r="AI836" s="298">
        <v>4</v>
      </c>
      <c r="AJ836" s="298">
        <v>19</v>
      </c>
      <c r="AK836" s="298">
        <v>5</v>
      </c>
      <c r="AL836" s="298">
        <v>20</v>
      </c>
      <c r="AM836" s="298">
        <v>19</v>
      </c>
      <c r="AN836" s="298">
        <v>19</v>
      </c>
      <c r="AO836" s="298">
        <v>16</v>
      </c>
      <c r="AP836" s="298">
        <v>19</v>
      </c>
      <c r="AQ836" s="298">
        <v>1</v>
      </c>
      <c r="AR836" s="298">
        <v>18</v>
      </c>
      <c r="AS836" s="298">
        <v>11</v>
      </c>
      <c r="AT836" s="298">
        <v>3</v>
      </c>
      <c r="AU836" s="298">
        <v>18</v>
      </c>
      <c r="AV836" s="298">
        <f t="shared" si="57"/>
        <v>18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6.08</v>
      </c>
      <c r="R837" s="271">
        <v>6.08</v>
      </c>
      <c r="S837" s="271">
        <v>6.08</v>
      </c>
      <c r="T837" s="271">
        <v>6.08</v>
      </c>
      <c r="U837" s="271">
        <v>6.1</v>
      </c>
      <c r="V837" s="271">
        <v>6.1</v>
      </c>
      <c r="W837" s="271">
        <v>6.27</v>
      </c>
      <c r="X837" s="271">
        <v>6.2801</v>
      </c>
      <c r="Y837" s="271">
        <v>6.81</v>
      </c>
      <c r="Z837" s="273">
        <f ca="1">[1]ExtEntry!$N43</f>
        <v>6.81</v>
      </c>
      <c r="AB837" s="298">
        <v>20</v>
      </c>
      <c r="AC837" s="298">
        <v>7</v>
      </c>
      <c r="AD837" s="298">
        <v>7</v>
      </c>
      <c r="AE837" s="298">
        <v>1</v>
      </c>
      <c r="AF837" s="298">
        <v>1</v>
      </c>
      <c r="AG837" s="298">
        <v>18</v>
      </c>
      <c r="AH837" s="298">
        <v>13</v>
      </c>
      <c r="AI837" s="298">
        <v>13</v>
      </c>
      <c r="AJ837" s="298">
        <v>5</v>
      </c>
      <c r="AK837" s="298">
        <v>8</v>
      </c>
      <c r="AL837" s="298">
        <v>18</v>
      </c>
      <c r="AM837" s="298">
        <v>17</v>
      </c>
      <c r="AN837" s="298">
        <v>17</v>
      </c>
      <c r="AO837" s="298">
        <v>10</v>
      </c>
      <c r="AP837" s="298">
        <v>8</v>
      </c>
      <c r="AQ837" s="298">
        <v>8</v>
      </c>
      <c r="AR837" s="298">
        <v>13</v>
      </c>
      <c r="AS837" s="298">
        <v>16</v>
      </c>
      <c r="AT837" s="298">
        <v>6</v>
      </c>
      <c r="AU837" s="298">
        <v>9</v>
      </c>
      <c r="AV837" s="298">
        <f t="shared" si="57"/>
        <v>9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198.75</v>
      </c>
      <c r="G838" s="271">
        <v>202.59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205.97</v>
      </c>
      <c r="Q838" s="271">
        <v>209.64</v>
      </c>
      <c r="R838" s="271">
        <v>209.64</v>
      </c>
      <c r="S838" s="271">
        <v>210.51</v>
      </c>
      <c r="T838" s="271">
        <v>210.51</v>
      </c>
      <c r="U838" s="271">
        <v>212.11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14</v>
      </c>
      <c r="AD838" s="298">
        <v>14</v>
      </c>
      <c r="AE838" s="298">
        <v>15</v>
      </c>
      <c r="AF838" s="298">
        <v>14</v>
      </c>
      <c r="AG838" s="298">
        <v>16</v>
      </c>
      <c r="AH838" s="298">
        <v>5</v>
      </c>
      <c r="AI838" s="298">
        <v>5</v>
      </c>
      <c r="AJ838" s="298">
        <v>11</v>
      </c>
      <c r="AK838" s="298">
        <v>14</v>
      </c>
      <c r="AL838" s="298">
        <v>20</v>
      </c>
      <c r="AM838" s="298">
        <v>18</v>
      </c>
      <c r="AN838" s="298">
        <v>18</v>
      </c>
      <c r="AO838" s="298">
        <v>6</v>
      </c>
      <c r="AP838" s="298">
        <v>6</v>
      </c>
      <c r="AQ838" s="298">
        <v>13</v>
      </c>
      <c r="AR838" s="298">
        <v>9</v>
      </c>
      <c r="AS838" s="298">
        <v>8</v>
      </c>
      <c r="AT838" s="298">
        <v>1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20</v>
      </c>
      <c r="AF839" s="298">
        <v>19</v>
      </c>
      <c r="AG839" s="298">
        <v>15</v>
      </c>
      <c r="AH839" s="298">
        <v>2</v>
      </c>
      <c r="AI839" s="298">
        <v>2</v>
      </c>
      <c r="AJ839" s="298">
        <v>7</v>
      </c>
      <c r="AK839" s="298">
        <v>10</v>
      </c>
      <c r="AL839" s="298">
        <v>20</v>
      </c>
      <c r="AM839" s="298">
        <v>16</v>
      </c>
      <c r="AN839" s="298">
        <v>16</v>
      </c>
      <c r="AO839" s="298">
        <v>6</v>
      </c>
      <c r="AP839" s="298">
        <v>2</v>
      </c>
      <c r="AQ839" s="298">
        <v>2</v>
      </c>
      <c r="AR839" s="298">
        <v>3</v>
      </c>
      <c r="AS839" s="298">
        <v>1</v>
      </c>
      <c r="AT839" s="298">
        <v>12</v>
      </c>
      <c r="AU839" s="298">
        <v>11</v>
      </c>
      <c r="AV839" s="298">
        <f t="shared" si="57"/>
        <v>11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2</v>
      </c>
      <c r="AD840" s="298">
        <v>2</v>
      </c>
      <c r="AE840" s="298">
        <v>12</v>
      </c>
      <c r="AF840" s="298">
        <v>11</v>
      </c>
      <c r="AG840" s="298">
        <v>7</v>
      </c>
      <c r="AH840" s="298">
        <v>2</v>
      </c>
      <c r="AI840" s="298">
        <v>19</v>
      </c>
      <c r="AJ840" s="298">
        <v>14</v>
      </c>
      <c r="AK840" s="298">
        <v>4</v>
      </c>
      <c r="AL840" s="298">
        <v>16</v>
      </c>
      <c r="AM840" s="298">
        <v>20</v>
      </c>
      <c r="AN840" s="298">
        <v>20</v>
      </c>
      <c r="AO840" s="298">
        <v>7</v>
      </c>
      <c r="AP840" s="298">
        <v>3</v>
      </c>
      <c r="AQ840" s="298">
        <v>12</v>
      </c>
      <c r="AR840" s="298">
        <v>8</v>
      </c>
      <c r="AS840" s="298">
        <v>5</v>
      </c>
      <c r="AT840" s="298">
        <v>18</v>
      </c>
      <c r="AU840" s="298">
        <v>2</v>
      </c>
      <c r="AV840" s="298">
        <f t="shared" si="57"/>
        <v>2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6.18</v>
      </c>
      <c r="H841" s="271">
        <v>6.165</v>
      </c>
      <c r="I841" s="271">
        <v>6.1349999999999998</v>
      </c>
      <c r="J841" s="271">
        <v>6.1349999999999998</v>
      </c>
      <c r="K841" s="271">
        <v>6.07</v>
      </c>
      <c r="L841" s="271">
        <v>5.89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5.6849999999999996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14</v>
      </c>
      <c r="AD841" s="298">
        <v>14</v>
      </c>
      <c r="AE841" s="298">
        <v>8</v>
      </c>
      <c r="AF841" s="298">
        <v>7</v>
      </c>
      <c r="AG841" s="298">
        <v>11</v>
      </c>
      <c r="AH841" s="298">
        <v>5</v>
      </c>
      <c r="AI841" s="298">
        <v>2</v>
      </c>
      <c r="AJ841" s="298">
        <v>3</v>
      </c>
      <c r="AK841" s="298">
        <v>3</v>
      </c>
      <c r="AL841" s="298">
        <v>16</v>
      </c>
      <c r="AM841" s="298">
        <v>16</v>
      </c>
      <c r="AN841" s="298">
        <v>16</v>
      </c>
      <c r="AO841" s="298">
        <v>3</v>
      </c>
      <c r="AP841" s="298">
        <v>2</v>
      </c>
      <c r="AQ841" s="298">
        <v>1</v>
      </c>
      <c r="AR841" s="298">
        <v>14</v>
      </c>
      <c r="AS841" s="298">
        <v>19</v>
      </c>
      <c r="AT841" s="298">
        <v>2</v>
      </c>
      <c r="AU841" s="298">
        <v>13</v>
      </c>
      <c r="AV841" s="298">
        <f t="shared" si="57"/>
        <v>13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138.1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18</v>
      </c>
      <c r="AD842" s="298">
        <v>18</v>
      </c>
      <c r="AE842" s="298">
        <v>20</v>
      </c>
      <c r="AF842" s="298">
        <v>19</v>
      </c>
      <c r="AG842" s="298">
        <v>12</v>
      </c>
      <c r="AH842" s="298">
        <v>8</v>
      </c>
      <c r="AI842" s="298">
        <v>4</v>
      </c>
      <c r="AJ842" s="298">
        <v>5</v>
      </c>
      <c r="AK842" s="298">
        <v>3</v>
      </c>
      <c r="AL842" s="298">
        <v>18</v>
      </c>
      <c r="AM842" s="298">
        <v>12</v>
      </c>
      <c r="AN842" s="298">
        <v>12</v>
      </c>
      <c r="AO842" s="298">
        <v>6</v>
      </c>
      <c r="AP842" s="298">
        <v>5</v>
      </c>
      <c r="AQ842" s="298">
        <v>1</v>
      </c>
      <c r="AR842" s="298">
        <v>17</v>
      </c>
      <c r="AS842" s="298">
        <v>1</v>
      </c>
      <c r="AT842" s="298">
        <v>17</v>
      </c>
      <c r="AU842" s="298">
        <v>11</v>
      </c>
      <c r="AV842" s="298">
        <f t="shared" si="57"/>
        <v>11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9</v>
      </c>
      <c r="AD843" s="298">
        <v>9</v>
      </c>
      <c r="AE843" s="298">
        <v>5</v>
      </c>
      <c r="AF843" s="298">
        <v>4</v>
      </c>
      <c r="AG843" s="298">
        <v>10</v>
      </c>
      <c r="AH843" s="298">
        <v>19</v>
      </c>
      <c r="AI843" s="298">
        <v>9</v>
      </c>
      <c r="AJ843" s="298">
        <v>14</v>
      </c>
      <c r="AK843" s="298">
        <v>8</v>
      </c>
      <c r="AL843" s="298">
        <v>13</v>
      </c>
      <c r="AM843" s="298">
        <v>20</v>
      </c>
      <c r="AN843" s="298">
        <v>20</v>
      </c>
      <c r="AO843" s="298">
        <v>15</v>
      </c>
      <c r="AP843" s="298">
        <v>13</v>
      </c>
      <c r="AQ843" s="298">
        <v>17</v>
      </c>
      <c r="AR843" s="298">
        <v>6</v>
      </c>
      <c r="AS843" s="298">
        <v>12</v>
      </c>
      <c r="AT843" s="298">
        <v>3</v>
      </c>
      <c r="AU843" s="298">
        <v>15</v>
      </c>
      <c r="AV843" s="298">
        <f t="shared" si="57"/>
        <v>15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10</v>
      </c>
      <c r="AD844" s="298">
        <v>10</v>
      </c>
      <c r="AE844" s="298">
        <v>5</v>
      </c>
      <c r="AF844" s="298">
        <v>5</v>
      </c>
      <c r="AG844" s="298">
        <v>19</v>
      </c>
      <c r="AH844" s="298">
        <v>10</v>
      </c>
      <c r="AI844" s="298">
        <v>16</v>
      </c>
      <c r="AJ844" s="298">
        <v>9</v>
      </c>
      <c r="AK844" s="298">
        <v>10</v>
      </c>
      <c r="AL844" s="298">
        <v>10</v>
      </c>
      <c r="AM844" s="298">
        <v>20</v>
      </c>
      <c r="AN844" s="298">
        <v>20</v>
      </c>
      <c r="AO844" s="298">
        <v>10</v>
      </c>
      <c r="AP844" s="298">
        <v>6</v>
      </c>
      <c r="AQ844" s="298">
        <v>6</v>
      </c>
      <c r="AR844" s="298">
        <v>10</v>
      </c>
      <c r="AS844" s="298">
        <v>15</v>
      </c>
      <c r="AT844" s="298">
        <v>18</v>
      </c>
      <c r="AU844" s="298">
        <v>15</v>
      </c>
      <c r="AV844" s="298">
        <f t="shared" si="57"/>
        <v>15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16</v>
      </c>
      <c r="AD845" s="298">
        <v>16</v>
      </c>
      <c r="AE845" s="298">
        <v>14</v>
      </c>
      <c r="AF845" s="298">
        <v>13</v>
      </c>
      <c r="AG845" s="298">
        <v>15</v>
      </c>
      <c r="AH845" s="298">
        <v>15</v>
      </c>
      <c r="AI845" s="298">
        <v>17</v>
      </c>
      <c r="AJ845" s="298">
        <v>12</v>
      </c>
      <c r="AK845" s="298">
        <v>19</v>
      </c>
      <c r="AL845" s="298">
        <v>7</v>
      </c>
      <c r="AM845" s="298">
        <v>15</v>
      </c>
      <c r="AN845" s="298">
        <v>15</v>
      </c>
      <c r="AO845" s="298">
        <v>13</v>
      </c>
      <c r="AP845" s="298">
        <v>20</v>
      </c>
      <c r="AQ845" s="298">
        <v>13</v>
      </c>
      <c r="AR845" s="298">
        <v>14</v>
      </c>
      <c r="AS845" s="298">
        <v>19</v>
      </c>
      <c r="AT845" s="298">
        <v>15</v>
      </c>
      <c r="AU845" s="298">
        <v>19</v>
      </c>
      <c r="AV845" s="298">
        <f t="shared" si="57"/>
        <v>19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19</v>
      </c>
      <c r="AD846" s="298">
        <v>19</v>
      </c>
      <c r="AE846" s="298">
        <v>5</v>
      </c>
      <c r="AF846" s="298">
        <v>5</v>
      </c>
      <c r="AG846" s="298">
        <v>2</v>
      </c>
      <c r="AH846" s="298">
        <v>20</v>
      </c>
      <c r="AI846" s="298">
        <v>18</v>
      </c>
      <c r="AJ846" s="298">
        <v>4</v>
      </c>
      <c r="AK846" s="298">
        <v>4</v>
      </c>
      <c r="AL846" s="298">
        <v>15</v>
      </c>
      <c r="AM846" s="298">
        <v>15</v>
      </c>
      <c r="AN846" s="298">
        <v>15</v>
      </c>
      <c r="AO846" s="298">
        <v>14</v>
      </c>
      <c r="AP846" s="298">
        <v>12</v>
      </c>
      <c r="AQ846" s="298">
        <v>11</v>
      </c>
      <c r="AR846" s="298">
        <v>10</v>
      </c>
      <c r="AS846" s="298">
        <v>10</v>
      </c>
      <c r="AT846" s="298">
        <v>9</v>
      </c>
      <c r="AU846" s="298">
        <v>8</v>
      </c>
      <c r="AV846" s="298">
        <f t="shared" si="57"/>
        <v>8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6</v>
      </c>
      <c r="AD847" s="298">
        <v>6</v>
      </c>
      <c r="AE847" s="298">
        <v>6</v>
      </c>
      <c r="AF847" s="298">
        <v>5</v>
      </c>
      <c r="AG847" s="298">
        <v>1</v>
      </c>
      <c r="AH847" s="298">
        <v>7</v>
      </c>
      <c r="AI847" s="298">
        <v>13</v>
      </c>
      <c r="AJ847" s="298">
        <v>1</v>
      </c>
      <c r="AK847" s="298">
        <v>12</v>
      </c>
      <c r="AL847" s="298">
        <v>3</v>
      </c>
      <c r="AM847" s="298">
        <v>13</v>
      </c>
      <c r="AN847" s="298">
        <v>13</v>
      </c>
      <c r="AO847" s="298">
        <v>20</v>
      </c>
      <c r="AP847" s="298">
        <v>8</v>
      </c>
      <c r="AQ847" s="298">
        <v>6</v>
      </c>
      <c r="AR847" s="298">
        <v>4</v>
      </c>
      <c r="AS847" s="298">
        <v>1</v>
      </c>
      <c r="AT847" s="298">
        <v>16</v>
      </c>
      <c r="AU847" s="298">
        <v>15</v>
      </c>
      <c r="AV847" s="298">
        <f t="shared" si="57"/>
        <v>15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13</v>
      </c>
      <c r="AD848" s="298">
        <v>13</v>
      </c>
      <c r="AE848" s="298">
        <v>7</v>
      </c>
      <c r="AF848" s="298">
        <v>6</v>
      </c>
      <c r="AG848" s="298">
        <v>14</v>
      </c>
      <c r="AH848" s="298">
        <v>6</v>
      </c>
      <c r="AI848" s="298">
        <v>17</v>
      </c>
      <c r="AJ848" s="298">
        <v>4</v>
      </c>
      <c r="AK848" s="298">
        <v>14</v>
      </c>
      <c r="AL848" s="298">
        <v>12</v>
      </c>
      <c r="AM848" s="298">
        <v>17</v>
      </c>
      <c r="AN848" s="298">
        <v>17</v>
      </c>
      <c r="AO848" s="298">
        <v>7</v>
      </c>
      <c r="AP848" s="298">
        <v>2</v>
      </c>
      <c r="AQ848" s="298">
        <v>12</v>
      </c>
      <c r="AR848" s="298">
        <v>15</v>
      </c>
      <c r="AS848" s="298">
        <v>15</v>
      </c>
      <c r="AT848" s="298">
        <v>3</v>
      </c>
      <c r="AU848" s="298">
        <v>11</v>
      </c>
      <c r="AV848" s="298">
        <f t="shared" si="57"/>
        <v>11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16</v>
      </c>
      <c r="AD849" s="298">
        <v>16</v>
      </c>
      <c r="AE849" s="298">
        <v>13</v>
      </c>
      <c r="AF849" s="298">
        <v>13</v>
      </c>
      <c r="AG849" s="298">
        <v>11</v>
      </c>
      <c r="AH849" s="298">
        <v>18</v>
      </c>
      <c r="AI849" s="298">
        <v>10</v>
      </c>
      <c r="AJ849" s="298">
        <v>3</v>
      </c>
      <c r="AK849" s="298">
        <v>6</v>
      </c>
      <c r="AL849" s="298">
        <v>20</v>
      </c>
      <c r="AM849" s="298">
        <v>12</v>
      </c>
      <c r="AN849" s="298">
        <v>12</v>
      </c>
      <c r="AO849" s="298">
        <v>3</v>
      </c>
      <c r="AP849" s="298">
        <v>4</v>
      </c>
      <c r="AQ849" s="298">
        <v>17</v>
      </c>
      <c r="AR849" s="298">
        <v>4</v>
      </c>
      <c r="AS849" s="298">
        <v>6</v>
      </c>
      <c r="AT849" s="298">
        <v>17</v>
      </c>
      <c r="AU849" s="298">
        <v>6</v>
      </c>
      <c r="AV849" s="298">
        <f t="shared" si="57"/>
        <v>6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7</v>
      </c>
      <c r="AD850" s="298">
        <v>7</v>
      </c>
      <c r="AE850" s="298">
        <v>19</v>
      </c>
      <c r="AF850" s="298">
        <v>18</v>
      </c>
      <c r="AG850" s="298">
        <v>7</v>
      </c>
      <c r="AH850" s="298">
        <v>3</v>
      </c>
      <c r="AI850" s="298">
        <v>10</v>
      </c>
      <c r="AJ850" s="298">
        <v>2</v>
      </c>
      <c r="AK850" s="298">
        <v>19</v>
      </c>
      <c r="AL850" s="298">
        <v>16</v>
      </c>
      <c r="AM850" s="298">
        <v>15</v>
      </c>
      <c r="AN850" s="298">
        <v>15</v>
      </c>
      <c r="AO850" s="298">
        <v>12</v>
      </c>
      <c r="AP850" s="298">
        <v>7</v>
      </c>
      <c r="AQ850" s="298">
        <v>5</v>
      </c>
      <c r="AR850" s="298">
        <v>12</v>
      </c>
      <c r="AS850" s="298">
        <v>5</v>
      </c>
      <c r="AT850" s="298">
        <v>2</v>
      </c>
      <c r="AU850" s="298">
        <v>9</v>
      </c>
      <c r="AV850" s="298">
        <f t="shared" si="57"/>
        <v>9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26.25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4</v>
      </c>
      <c r="AF851" s="298">
        <v>3</v>
      </c>
      <c r="AG851" s="298">
        <v>3</v>
      </c>
      <c r="AH851" s="298">
        <v>16</v>
      </c>
      <c r="AI851" s="298">
        <v>16</v>
      </c>
      <c r="AJ851" s="298">
        <v>1</v>
      </c>
      <c r="AK851" s="298">
        <v>7</v>
      </c>
      <c r="AL851" s="298">
        <v>8</v>
      </c>
      <c r="AM851" s="298">
        <v>16</v>
      </c>
      <c r="AN851" s="298">
        <v>16</v>
      </c>
      <c r="AO851" s="298">
        <v>8</v>
      </c>
      <c r="AP851" s="298">
        <v>9</v>
      </c>
      <c r="AQ851" s="298">
        <v>1</v>
      </c>
      <c r="AR851" s="298">
        <v>2</v>
      </c>
      <c r="AS851" s="298">
        <v>19</v>
      </c>
      <c r="AT851" s="298">
        <v>14</v>
      </c>
      <c r="AU851" s="298">
        <v>8</v>
      </c>
      <c r="AV851" s="298">
        <f t="shared" si="57"/>
        <v>8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17</v>
      </c>
      <c r="AD852" s="298">
        <v>17</v>
      </c>
      <c r="AE852" s="298">
        <v>14</v>
      </c>
      <c r="AF852" s="298">
        <v>14</v>
      </c>
      <c r="AG852" s="298">
        <v>16</v>
      </c>
      <c r="AH852" s="298">
        <v>9</v>
      </c>
      <c r="AI852" s="298">
        <v>3</v>
      </c>
      <c r="AJ852" s="298">
        <v>6</v>
      </c>
      <c r="AK852" s="298">
        <v>18</v>
      </c>
      <c r="AL852" s="298">
        <v>17</v>
      </c>
      <c r="AM852" s="298">
        <v>20</v>
      </c>
      <c r="AN852" s="298">
        <v>20</v>
      </c>
      <c r="AO852" s="298">
        <v>13</v>
      </c>
      <c r="AP852" s="298">
        <v>4</v>
      </c>
      <c r="AQ852" s="298">
        <v>3</v>
      </c>
      <c r="AR852" s="298">
        <v>10</v>
      </c>
      <c r="AS852" s="298">
        <v>7</v>
      </c>
      <c r="AT852" s="298">
        <v>10</v>
      </c>
      <c r="AU852" s="298">
        <v>1</v>
      </c>
      <c r="AV852" s="298">
        <f t="shared" si="57"/>
        <v>1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10</v>
      </c>
      <c r="AD853" s="298">
        <v>10</v>
      </c>
      <c r="AE853" s="298">
        <v>9</v>
      </c>
      <c r="AF853" s="298">
        <v>8</v>
      </c>
      <c r="AG853" s="298">
        <v>6</v>
      </c>
      <c r="AH853" s="298">
        <v>13</v>
      </c>
      <c r="AI853" s="298">
        <v>17</v>
      </c>
      <c r="AJ853" s="298">
        <v>7</v>
      </c>
      <c r="AK853" s="298">
        <v>16</v>
      </c>
      <c r="AL853" s="298">
        <v>3</v>
      </c>
      <c r="AM853" s="298">
        <v>20</v>
      </c>
      <c r="AN853" s="298">
        <v>20</v>
      </c>
      <c r="AO853" s="298">
        <v>20</v>
      </c>
      <c r="AP853" s="298">
        <v>15</v>
      </c>
      <c r="AQ853" s="298">
        <v>4</v>
      </c>
      <c r="AR853" s="298">
        <v>1</v>
      </c>
      <c r="AS853" s="298">
        <v>14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0.1741</v>
      </c>
      <c r="M854" s="271">
        <v>0.17330000000000001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16</v>
      </c>
      <c r="AD854" s="298">
        <v>16</v>
      </c>
      <c r="AE854" s="298">
        <v>6</v>
      </c>
      <c r="AF854" s="298">
        <v>5</v>
      </c>
      <c r="AG854" s="298">
        <v>2</v>
      </c>
      <c r="AH854" s="298">
        <v>1</v>
      </c>
      <c r="AI854" s="298">
        <v>20</v>
      </c>
      <c r="AJ854" s="298">
        <v>19</v>
      </c>
      <c r="AK854" s="298">
        <v>18</v>
      </c>
      <c r="AL854" s="298">
        <v>2</v>
      </c>
      <c r="AM854" s="298">
        <v>17</v>
      </c>
      <c r="AN854" s="298">
        <v>17</v>
      </c>
      <c r="AO854" s="298">
        <v>16</v>
      </c>
      <c r="AP854" s="298">
        <v>16</v>
      </c>
      <c r="AQ854" s="298">
        <v>3</v>
      </c>
      <c r="AR854" s="298">
        <v>4</v>
      </c>
      <c r="AS854" s="298">
        <v>19</v>
      </c>
      <c r="AT854" s="298">
        <v>9</v>
      </c>
      <c r="AU854" s="298">
        <v>13</v>
      </c>
      <c r="AV854" s="298">
        <f t="shared" si="57"/>
        <v>13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20.94</v>
      </c>
      <c r="J855" s="271">
        <v>20.94</v>
      </c>
      <c r="K855" s="271">
        <v>20.94</v>
      </c>
      <c r="L855" s="271">
        <v>21.08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21.55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13</v>
      </c>
      <c r="AD855" s="298">
        <v>13</v>
      </c>
      <c r="AE855" s="298">
        <v>11</v>
      </c>
      <c r="AF855" s="298">
        <v>10</v>
      </c>
      <c r="AG855" s="298">
        <v>18</v>
      </c>
      <c r="AH855" s="298">
        <v>18</v>
      </c>
      <c r="AI855" s="298">
        <v>20</v>
      </c>
      <c r="AJ855" s="298">
        <v>13</v>
      </c>
      <c r="AK855" s="298">
        <v>6</v>
      </c>
      <c r="AL855" s="298">
        <v>10</v>
      </c>
      <c r="AM855" s="298">
        <v>18</v>
      </c>
      <c r="AN855" s="298">
        <v>18</v>
      </c>
      <c r="AO855" s="298">
        <v>10</v>
      </c>
      <c r="AP855" s="298">
        <v>14</v>
      </c>
      <c r="AQ855" s="298">
        <v>2</v>
      </c>
      <c r="AR855" s="298">
        <v>6</v>
      </c>
      <c r="AS855" s="298">
        <v>1</v>
      </c>
      <c r="AT855" s="298">
        <v>1</v>
      </c>
      <c r="AU855" s="298">
        <v>15</v>
      </c>
      <c r="AV855" s="298">
        <f t="shared" si="57"/>
        <v>15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12</v>
      </c>
      <c r="AD856" s="298">
        <v>12</v>
      </c>
      <c r="AE856" s="298">
        <v>19</v>
      </c>
      <c r="AF856" s="298">
        <v>18</v>
      </c>
      <c r="AG856" s="298">
        <v>8</v>
      </c>
      <c r="AH856" s="298">
        <v>19</v>
      </c>
      <c r="AI856" s="298">
        <v>20</v>
      </c>
      <c r="AJ856" s="298">
        <v>13</v>
      </c>
      <c r="AK856" s="298">
        <v>18</v>
      </c>
      <c r="AL856" s="298">
        <v>11</v>
      </c>
      <c r="AM856" s="298">
        <v>17</v>
      </c>
      <c r="AN856" s="298">
        <v>17</v>
      </c>
      <c r="AO856" s="298">
        <v>19</v>
      </c>
      <c r="AP856" s="298">
        <v>11</v>
      </c>
      <c r="AQ856" s="298">
        <v>15</v>
      </c>
      <c r="AR856" s="298">
        <v>4</v>
      </c>
      <c r="AS856" s="298">
        <v>7</v>
      </c>
      <c r="AT856" s="298">
        <v>2</v>
      </c>
      <c r="AU856" s="298">
        <v>9</v>
      </c>
      <c r="AV856" s="298">
        <f t="shared" si="57"/>
        <v>9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2</v>
      </c>
      <c r="AD857" s="298">
        <v>2</v>
      </c>
      <c r="AE857" s="298">
        <v>6</v>
      </c>
      <c r="AF857" s="298">
        <v>6</v>
      </c>
      <c r="AG857" s="298">
        <v>6</v>
      </c>
      <c r="AH857" s="298">
        <v>17</v>
      </c>
      <c r="AI857" s="298">
        <v>16</v>
      </c>
      <c r="AJ857" s="298">
        <v>11</v>
      </c>
      <c r="AK857" s="298">
        <v>15</v>
      </c>
      <c r="AL857" s="298">
        <v>4</v>
      </c>
      <c r="AM857" s="298">
        <v>19</v>
      </c>
      <c r="AN857" s="298">
        <v>19</v>
      </c>
      <c r="AO857" s="298">
        <v>12</v>
      </c>
      <c r="AP857" s="298">
        <v>5</v>
      </c>
      <c r="AQ857" s="298">
        <v>2</v>
      </c>
      <c r="AR857" s="298">
        <v>14</v>
      </c>
      <c r="AS857" s="298">
        <v>7</v>
      </c>
      <c r="AT857" s="298">
        <v>14</v>
      </c>
      <c r="AU857" s="298">
        <v>7</v>
      </c>
      <c r="AV857" s="298">
        <f t="shared" si="57"/>
        <v>7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190.04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191.54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11</v>
      </c>
      <c r="AD858" s="298">
        <v>11</v>
      </c>
      <c r="AE858" s="298">
        <v>9</v>
      </c>
      <c r="AF858" s="298">
        <v>8</v>
      </c>
      <c r="AG858" s="298">
        <v>16</v>
      </c>
      <c r="AH858" s="298">
        <v>8</v>
      </c>
      <c r="AI858" s="298">
        <v>14</v>
      </c>
      <c r="AJ858" s="298">
        <v>3</v>
      </c>
      <c r="AK858" s="298">
        <v>11</v>
      </c>
      <c r="AL858" s="298">
        <v>6</v>
      </c>
      <c r="AM858" s="298">
        <v>19</v>
      </c>
      <c r="AN858" s="298">
        <v>19</v>
      </c>
      <c r="AO858" s="298">
        <v>4</v>
      </c>
      <c r="AP858" s="298">
        <v>15</v>
      </c>
      <c r="AQ858" s="298">
        <v>5</v>
      </c>
      <c r="AR858" s="298">
        <v>12</v>
      </c>
      <c r="AS858" s="298">
        <v>19</v>
      </c>
      <c r="AT858" s="298">
        <v>18</v>
      </c>
      <c r="AU858" s="298">
        <v>6</v>
      </c>
      <c r="AV858" s="298">
        <f t="shared" si="57"/>
        <v>6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2</v>
      </c>
      <c r="AD859" s="298">
        <v>2</v>
      </c>
      <c r="AE859" s="298">
        <v>12</v>
      </c>
      <c r="AF859" s="298">
        <v>11</v>
      </c>
      <c r="AG859" s="298">
        <v>7</v>
      </c>
      <c r="AH859" s="298">
        <v>2</v>
      </c>
      <c r="AI859" s="298">
        <v>19</v>
      </c>
      <c r="AJ859" s="298">
        <v>14</v>
      </c>
      <c r="AK859" s="298">
        <v>4</v>
      </c>
      <c r="AL859" s="298">
        <v>16</v>
      </c>
      <c r="AM859" s="298">
        <v>20</v>
      </c>
      <c r="AN859" s="298">
        <v>20</v>
      </c>
      <c r="AO859" s="298">
        <v>7</v>
      </c>
      <c r="AP859" s="298">
        <v>3</v>
      </c>
      <c r="AQ859" s="298">
        <v>12</v>
      </c>
      <c r="AR859" s="298">
        <v>8</v>
      </c>
      <c r="AS859" s="298">
        <v>5</v>
      </c>
      <c r="AT859" s="298">
        <v>18</v>
      </c>
      <c r="AU859" s="298">
        <v>2</v>
      </c>
      <c r="AV859" s="298">
        <f t="shared" si="57"/>
        <v>2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15</v>
      </c>
      <c r="AD860" s="298">
        <v>15</v>
      </c>
      <c r="AE860" s="298">
        <v>13</v>
      </c>
      <c r="AF860" s="298">
        <v>12</v>
      </c>
      <c r="AG860" s="298">
        <v>18</v>
      </c>
      <c r="AH860" s="298">
        <v>10</v>
      </c>
      <c r="AI860" s="298">
        <v>7</v>
      </c>
      <c r="AJ860" s="298">
        <v>8</v>
      </c>
      <c r="AK860" s="298">
        <v>9</v>
      </c>
      <c r="AL860" s="298">
        <v>10</v>
      </c>
      <c r="AM860" s="298">
        <v>19</v>
      </c>
      <c r="AN860" s="298">
        <v>19</v>
      </c>
      <c r="AO860" s="298">
        <v>4</v>
      </c>
      <c r="AP860" s="298">
        <v>8</v>
      </c>
      <c r="AQ860" s="298">
        <v>17</v>
      </c>
      <c r="AR860" s="298">
        <v>18</v>
      </c>
      <c r="AS860" s="298">
        <v>20</v>
      </c>
      <c r="AT860" s="298">
        <v>3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12</v>
      </c>
      <c r="AD861" s="298">
        <v>12</v>
      </c>
      <c r="AE861" s="298">
        <v>18</v>
      </c>
      <c r="AF861" s="298">
        <v>17</v>
      </c>
      <c r="AG861" s="298">
        <v>18</v>
      </c>
      <c r="AH861" s="298">
        <v>13</v>
      </c>
      <c r="AI861" s="298">
        <v>7</v>
      </c>
      <c r="AJ861" s="298">
        <v>9</v>
      </c>
      <c r="AK861" s="298">
        <v>3</v>
      </c>
      <c r="AL861" s="298">
        <v>16</v>
      </c>
      <c r="AM861" s="298">
        <v>20</v>
      </c>
      <c r="AN861" s="298">
        <v>20</v>
      </c>
      <c r="AO861" s="298">
        <v>7</v>
      </c>
      <c r="AP861" s="298">
        <v>1</v>
      </c>
      <c r="AQ861" s="298">
        <v>3</v>
      </c>
      <c r="AR861" s="298">
        <v>6</v>
      </c>
      <c r="AS861" s="298">
        <v>20</v>
      </c>
      <c r="AT861" s="298">
        <v>12</v>
      </c>
      <c r="AU861" s="298">
        <v>14</v>
      </c>
      <c r="AV861" s="298">
        <f t="shared" ref="AV861:AV889" si="59">_xlfn.RANK.EQ(Y762,F762:Y762)</f>
        <v>14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15</v>
      </c>
      <c r="AD862" s="298">
        <v>15</v>
      </c>
      <c r="AE862" s="298">
        <v>11</v>
      </c>
      <c r="AF862" s="298">
        <v>10</v>
      </c>
      <c r="AG862" s="298">
        <v>13</v>
      </c>
      <c r="AH862" s="298">
        <v>12</v>
      </c>
      <c r="AI862" s="298">
        <v>8</v>
      </c>
      <c r="AJ862" s="298">
        <v>3</v>
      </c>
      <c r="AK862" s="298">
        <v>16</v>
      </c>
      <c r="AL862" s="298">
        <v>13</v>
      </c>
      <c r="AM862" s="298">
        <v>20</v>
      </c>
      <c r="AN862" s="298">
        <v>20</v>
      </c>
      <c r="AO862" s="298">
        <v>2</v>
      </c>
      <c r="AP862" s="298">
        <v>2</v>
      </c>
      <c r="AQ862" s="298">
        <v>1</v>
      </c>
      <c r="AR862" s="298">
        <v>9</v>
      </c>
      <c r="AS862" s="298">
        <v>16</v>
      </c>
      <c r="AT862" s="298">
        <v>8</v>
      </c>
      <c r="AU862" s="298">
        <v>11</v>
      </c>
      <c r="AV862" s="298">
        <f t="shared" si="59"/>
        <v>11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7</v>
      </c>
      <c r="AD863" s="298">
        <v>7</v>
      </c>
      <c r="AE863" s="298">
        <v>19</v>
      </c>
      <c r="AF863" s="298">
        <v>18</v>
      </c>
      <c r="AG863" s="298">
        <v>7</v>
      </c>
      <c r="AH863" s="298">
        <v>3</v>
      </c>
      <c r="AI863" s="298">
        <v>10</v>
      </c>
      <c r="AJ863" s="298">
        <v>2</v>
      </c>
      <c r="AK863" s="298">
        <v>19</v>
      </c>
      <c r="AL863" s="298">
        <v>16</v>
      </c>
      <c r="AM863" s="298">
        <v>15</v>
      </c>
      <c r="AN863" s="298">
        <v>15</v>
      </c>
      <c r="AO863" s="298">
        <v>12</v>
      </c>
      <c r="AP863" s="298">
        <v>7</v>
      </c>
      <c r="AQ863" s="298">
        <v>5</v>
      </c>
      <c r="AR863" s="298">
        <v>12</v>
      </c>
      <c r="AS863" s="298">
        <v>5</v>
      </c>
      <c r="AT863" s="298">
        <v>2</v>
      </c>
      <c r="AU863" s="298">
        <v>9</v>
      </c>
      <c r="AV863" s="298">
        <f t="shared" si="59"/>
        <v>9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7</v>
      </c>
      <c r="AD864" s="298">
        <v>7</v>
      </c>
      <c r="AE864" s="298">
        <v>9</v>
      </c>
      <c r="AF864" s="298">
        <v>8</v>
      </c>
      <c r="AG864" s="298">
        <v>5</v>
      </c>
      <c r="AH864" s="298">
        <v>16</v>
      </c>
      <c r="AI864" s="298">
        <v>8</v>
      </c>
      <c r="AJ864" s="298">
        <v>6</v>
      </c>
      <c r="AK864" s="298">
        <v>15</v>
      </c>
      <c r="AL864" s="298">
        <v>6</v>
      </c>
      <c r="AM864" s="298">
        <v>18</v>
      </c>
      <c r="AN864" s="298">
        <v>18</v>
      </c>
      <c r="AO864" s="298">
        <v>18</v>
      </c>
      <c r="AP864" s="298">
        <v>2</v>
      </c>
      <c r="AQ864" s="298">
        <v>5</v>
      </c>
      <c r="AR864" s="298">
        <v>18</v>
      </c>
      <c r="AS864" s="298">
        <v>18</v>
      </c>
      <c r="AT864" s="298">
        <v>3</v>
      </c>
      <c r="AU864" s="298">
        <v>16</v>
      </c>
      <c r="AV864" s="298">
        <f t="shared" si="59"/>
        <v>16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11</v>
      </c>
      <c r="AD865" s="298">
        <v>11</v>
      </c>
      <c r="AE865" s="298">
        <v>5</v>
      </c>
      <c r="AF865" s="298">
        <v>4</v>
      </c>
      <c r="AG865" s="298">
        <v>18</v>
      </c>
      <c r="AH865" s="298">
        <v>15</v>
      </c>
      <c r="AI865" s="298">
        <v>7</v>
      </c>
      <c r="AJ865" s="298">
        <v>14</v>
      </c>
      <c r="AK865" s="298">
        <v>18</v>
      </c>
      <c r="AL865" s="298">
        <v>12</v>
      </c>
      <c r="AM865" s="298">
        <v>19</v>
      </c>
      <c r="AN865" s="298">
        <v>19</v>
      </c>
      <c r="AO865" s="298">
        <v>17</v>
      </c>
      <c r="AP865" s="298">
        <v>7</v>
      </c>
      <c r="AQ865" s="298">
        <v>13</v>
      </c>
      <c r="AR865" s="298">
        <v>15</v>
      </c>
      <c r="AS865" s="298">
        <v>18</v>
      </c>
      <c r="AT865" s="298">
        <v>2</v>
      </c>
      <c r="AU865" s="298">
        <v>14</v>
      </c>
      <c r="AV865" s="298">
        <f t="shared" si="59"/>
        <v>14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170.45</v>
      </c>
      <c r="J866" s="271">
        <v>170.45</v>
      </c>
      <c r="K866" s="271">
        <v>170.45</v>
      </c>
      <c r="L866" s="271">
        <v>178.15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180.6</v>
      </c>
      <c r="R866" s="271">
        <v>180.6</v>
      </c>
      <c r="S866" s="271">
        <v>180.6</v>
      </c>
      <c r="T866" s="271">
        <v>180.6</v>
      </c>
      <c r="U866" s="271">
        <v>187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7</v>
      </c>
      <c r="AD866" s="298">
        <v>7</v>
      </c>
      <c r="AE866" s="298">
        <v>4</v>
      </c>
      <c r="AF866" s="298">
        <v>4</v>
      </c>
      <c r="AG866" s="298">
        <v>17</v>
      </c>
      <c r="AH866" s="298">
        <v>3</v>
      </c>
      <c r="AI866" s="298">
        <v>16</v>
      </c>
      <c r="AJ866" s="298">
        <v>20</v>
      </c>
      <c r="AK866" s="298">
        <v>3</v>
      </c>
      <c r="AL866" s="298">
        <v>3</v>
      </c>
      <c r="AM866" s="298">
        <v>20</v>
      </c>
      <c r="AN866" s="298">
        <v>20</v>
      </c>
      <c r="AO866" s="298">
        <v>2</v>
      </c>
      <c r="AP866" s="298">
        <v>10</v>
      </c>
      <c r="AQ866" s="298">
        <v>8</v>
      </c>
      <c r="AR866" s="298">
        <v>8</v>
      </c>
      <c r="AS866" s="298">
        <v>20</v>
      </c>
      <c r="AT866" s="298">
        <v>12</v>
      </c>
      <c r="AU866" s="298">
        <v>14</v>
      </c>
      <c r="AV866" s="298">
        <f t="shared" si="59"/>
        <v>14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8</v>
      </c>
      <c r="AF867" s="298">
        <v>7</v>
      </c>
      <c r="AG867" s="298">
        <v>17</v>
      </c>
      <c r="AH867" s="298">
        <v>17</v>
      </c>
      <c r="AI867" s="298">
        <v>13</v>
      </c>
      <c r="AJ867" s="298">
        <v>4</v>
      </c>
      <c r="AK867" s="298">
        <v>15</v>
      </c>
      <c r="AL867" s="298">
        <v>12</v>
      </c>
      <c r="AM867" s="298">
        <v>16</v>
      </c>
      <c r="AN867" s="298">
        <v>16</v>
      </c>
      <c r="AO867" s="298">
        <v>5</v>
      </c>
      <c r="AP867" s="298">
        <v>4</v>
      </c>
      <c r="AQ867" s="298">
        <v>12</v>
      </c>
      <c r="AR867" s="298">
        <v>13</v>
      </c>
      <c r="AS867" s="298">
        <v>11</v>
      </c>
      <c r="AT867" s="298">
        <v>1</v>
      </c>
      <c r="AU867" s="298">
        <v>20</v>
      </c>
      <c r="AV867" s="298">
        <f t="shared" si="59"/>
        <v>20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7</v>
      </c>
      <c r="AD868" s="298">
        <v>7</v>
      </c>
      <c r="AE868" s="298">
        <v>20</v>
      </c>
      <c r="AF868" s="298">
        <v>19</v>
      </c>
      <c r="AG868" s="298">
        <v>9</v>
      </c>
      <c r="AH868" s="298">
        <v>2</v>
      </c>
      <c r="AI868" s="298">
        <v>8</v>
      </c>
      <c r="AJ868" s="298">
        <v>3</v>
      </c>
      <c r="AK868" s="298">
        <v>9</v>
      </c>
      <c r="AL868" s="298">
        <v>16</v>
      </c>
      <c r="AM868" s="298">
        <v>18</v>
      </c>
      <c r="AN868" s="298">
        <v>18</v>
      </c>
      <c r="AO868" s="298">
        <v>2</v>
      </c>
      <c r="AP868" s="298">
        <v>18</v>
      </c>
      <c r="AQ868" s="298">
        <v>2</v>
      </c>
      <c r="AR868" s="298">
        <v>3</v>
      </c>
      <c r="AS868" s="298">
        <v>12</v>
      </c>
      <c r="AT868" s="298">
        <v>1</v>
      </c>
      <c r="AU868" s="298">
        <v>4</v>
      </c>
      <c r="AV868" s="298">
        <f t="shared" si="59"/>
        <v>4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10</v>
      </c>
      <c r="AD869" s="298">
        <v>10</v>
      </c>
      <c r="AE869" s="298">
        <v>9</v>
      </c>
      <c r="AF869" s="298">
        <v>8</v>
      </c>
      <c r="AG869" s="298">
        <v>6</v>
      </c>
      <c r="AH869" s="298">
        <v>13</v>
      </c>
      <c r="AI869" s="298">
        <v>17</v>
      </c>
      <c r="AJ869" s="298">
        <v>7</v>
      </c>
      <c r="AK869" s="298">
        <v>16</v>
      </c>
      <c r="AL869" s="298">
        <v>3</v>
      </c>
      <c r="AM869" s="298">
        <v>20</v>
      </c>
      <c r="AN869" s="298">
        <v>20</v>
      </c>
      <c r="AO869" s="298">
        <v>20</v>
      </c>
      <c r="AP869" s="298">
        <v>15</v>
      </c>
      <c r="AQ869" s="298">
        <v>4</v>
      </c>
      <c r="AR869" s="298">
        <v>1</v>
      </c>
      <c r="AS869" s="298">
        <v>14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5</v>
      </c>
      <c r="AD870" s="298">
        <v>5</v>
      </c>
      <c r="AE870" s="298">
        <v>4</v>
      </c>
      <c r="AF870" s="298">
        <v>4</v>
      </c>
      <c r="AG870" s="298">
        <v>18</v>
      </c>
      <c r="AH870" s="298">
        <v>3</v>
      </c>
      <c r="AI870" s="298">
        <v>14</v>
      </c>
      <c r="AJ870" s="298">
        <v>20</v>
      </c>
      <c r="AK870" s="298">
        <v>10</v>
      </c>
      <c r="AL870" s="298">
        <v>12</v>
      </c>
      <c r="AM870" s="298">
        <v>19</v>
      </c>
      <c r="AN870" s="298">
        <v>19</v>
      </c>
      <c r="AO870" s="298">
        <v>1</v>
      </c>
      <c r="AP870" s="298">
        <v>11</v>
      </c>
      <c r="AQ870" s="298">
        <v>12</v>
      </c>
      <c r="AR870" s="298">
        <v>9</v>
      </c>
      <c r="AS870" s="298">
        <v>17</v>
      </c>
      <c r="AT870" s="298">
        <v>6</v>
      </c>
      <c r="AU870" s="298">
        <v>9</v>
      </c>
      <c r="AV870" s="298">
        <f t="shared" si="59"/>
        <v>9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12</v>
      </c>
      <c r="AD871" s="298">
        <v>12</v>
      </c>
      <c r="AE871" s="298">
        <v>7</v>
      </c>
      <c r="AF871" s="298">
        <v>6</v>
      </c>
      <c r="AG871" s="298">
        <v>15</v>
      </c>
      <c r="AH871" s="298">
        <v>10</v>
      </c>
      <c r="AI871" s="298">
        <v>11</v>
      </c>
      <c r="AJ871" s="298">
        <v>8</v>
      </c>
      <c r="AK871" s="298">
        <v>18</v>
      </c>
      <c r="AL871" s="298">
        <v>9</v>
      </c>
      <c r="AM871" s="298">
        <v>17</v>
      </c>
      <c r="AN871" s="298">
        <v>17</v>
      </c>
      <c r="AO871" s="298">
        <v>17</v>
      </c>
      <c r="AP871" s="298">
        <v>6</v>
      </c>
      <c r="AQ871" s="298">
        <v>15</v>
      </c>
      <c r="AR871" s="298">
        <v>19</v>
      </c>
      <c r="AS871" s="298">
        <v>13</v>
      </c>
      <c r="AT871" s="298">
        <v>1</v>
      </c>
      <c r="AU871" s="298">
        <v>14</v>
      </c>
      <c r="AV871" s="298">
        <f t="shared" si="59"/>
        <v>14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20.94</v>
      </c>
      <c r="J872" s="271">
        <v>20.94</v>
      </c>
      <c r="K872" s="271">
        <v>20.94</v>
      </c>
      <c r="L872" s="271">
        <v>21.08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21.55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13</v>
      </c>
      <c r="AD872" s="298">
        <v>13</v>
      </c>
      <c r="AE872" s="298">
        <v>11</v>
      </c>
      <c r="AF872" s="298">
        <v>10</v>
      </c>
      <c r="AG872" s="298">
        <v>18</v>
      </c>
      <c r="AH872" s="298">
        <v>18</v>
      </c>
      <c r="AI872" s="298">
        <v>20</v>
      </c>
      <c r="AJ872" s="298">
        <v>13</v>
      </c>
      <c r="AK872" s="298">
        <v>6</v>
      </c>
      <c r="AL872" s="298">
        <v>10</v>
      </c>
      <c r="AM872" s="298">
        <v>18</v>
      </c>
      <c r="AN872" s="298">
        <v>18</v>
      </c>
      <c r="AO872" s="298">
        <v>10</v>
      </c>
      <c r="AP872" s="298">
        <v>14</v>
      </c>
      <c r="AQ872" s="298">
        <v>2</v>
      </c>
      <c r="AR872" s="298">
        <v>6</v>
      </c>
      <c r="AS872" s="298">
        <v>1</v>
      </c>
      <c r="AT872" s="298">
        <v>1</v>
      </c>
      <c r="AU872" s="298">
        <v>15</v>
      </c>
      <c r="AV872" s="298">
        <f t="shared" si="59"/>
        <v>15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13</v>
      </c>
      <c r="AD873" s="298">
        <v>13</v>
      </c>
      <c r="AE873" s="298">
        <v>10</v>
      </c>
      <c r="AF873" s="298">
        <v>9</v>
      </c>
      <c r="AG873" s="298">
        <v>20</v>
      </c>
      <c r="AH873" s="298">
        <v>15</v>
      </c>
      <c r="AI873" s="298">
        <v>18</v>
      </c>
      <c r="AJ873" s="298">
        <v>16</v>
      </c>
      <c r="AK873" s="298">
        <v>9</v>
      </c>
      <c r="AL873" s="298">
        <v>15</v>
      </c>
      <c r="AM873" s="298">
        <v>19</v>
      </c>
      <c r="AN873" s="298">
        <v>19</v>
      </c>
      <c r="AO873" s="298">
        <v>16</v>
      </c>
      <c r="AP873" s="298">
        <v>1</v>
      </c>
      <c r="AQ873" s="298">
        <v>2</v>
      </c>
      <c r="AR873" s="298">
        <v>13</v>
      </c>
      <c r="AS873" s="298">
        <v>1</v>
      </c>
      <c r="AT873" s="298">
        <v>3</v>
      </c>
      <c r="AU873" s="298">
        <v>15</v>
      </c>
      <c r="AV873" s="298">
        <f t="shared" si="59"/>
        <v>15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18</v>
      </c>
      <c r="AD874" s="298">
        <v>18</v>
      </c>
      <c r="AE874" s="298">
        <v>17</v>
      </c>
      <c r="AF874" s="298">
        <v>16</v>
      </c>
      <c r="AG874" s="298">
        <v>7</v>
      </c>
      <c r="AH874" s="298">
        <v>10</v>
      </c>
      <c r="AI874" s="298">
        <v>2</v>
      </c>
      <c r="AJ874" s="298">
        <v>6</v>
      </c>
      <c r="AK874" s="298">
        <v>7</v>
      </c>
      <c r="AL874" s="298">
        <v>11</v>
      </c>
      <c r="AM874" s="298">
        <v>20</v>
      </c>
      <c r="AN874" s="298">
        <v>20</v>
      </c>
      <c r="AO874" s="298">
        <v>13</v>
      </c>
      <c r="AP874" s="298">
        <v>2</v>
      </c>
      <c r="AQ874" s="298">
        <v>5</v>
      </c>
      <c r="AR874" s="298">
        <v>2</v>
      </c>
      <c r="AS874" s="298">
        <v>5</v>
      </c>
      <c r="AT874" s="298">
        <v>3</v>
      </c>
      <c r="AU874" s="298">
        <v>14</v>
      </c>
      <c r="AV874" s="298">
        <f t="shared" si="59"/>
        <v>14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2.1150000000000002</v>
      </c>
      <c r="I875" s="271">
        <v>1.93</v>
      </c>
      <c r="J875" s="271">
        <v>1.93</v>
      </c>
      <c r="K875" s="271">
        <v>1.92</v>
      </c>
      <c r="L875" s="271">
        <v>1.89</v>
      </c>
      <c r="M875" s="271">
        <v>1.8149999999999999</v>
      </c>
      <c r="N875" s="271">
        <v>1.8149999999999999</v>
      </c>
      <c r="O875" s="271">
        <v>1.77</v>
      </c>
      <c r="P875" s="271">
        <v>1.69</v>
      </c>
      <c r="Q875" s="271">
        <v>1.6</v>
      </c>
      <c r="R875" s="271">
        <v>1.58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13</v>
      </c>
      <c r="AD875" s="298">
        <v>13</v>
      </c>
      <c r="AE875" s="298">
        <v>18</v>
      </c>
      <c r="AF875" s="298">
        <v>17</v>
      </c>
      <c r="AG875" s="298">
        <v>8</v>
      </c>
      <c r="AH875" s="298">
        <v>11</v>
      </c>
      <c r="AI875" s="298">
        <v>13</v>
      </c>
      <c r="AJ875" s="298">
        <v>6</v>
      </c>
      <c r="AK875" s="298">
        <v>9</v>
      </c>
      <c r="AL875" s="298">
        <v>12</v>
      </c>
      <c r="AM875" s="298">
        <v>16</v>
      </c>
      <c r="AN875" s="298">
        <v>16</v>
      </c>
      <c r="AO875" s="298">
        <v>3</v>
      </c>
      <c r="AP875" s="298">
        <v>3</v>
      </c>
      <c r="AQ875" s="298">
        <v>3</v>
      </c>
      <c r="AR875" s="298">
        <v>7</v>
      </c>
      <c r="AS875" s="298">
        <v>9</v>
      </c>
      <c r="AT875" s="298">
        <v>1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2</v>
      </c>
      <c r="AD876" s="298">
        <v>2</v>
      </c>
      <c r="AE876" s="298">
        <v>7</v>
      </c>
      <c r="AF876" s="298">
        <v>6</v>
      </c>
      <c r="AG876" s="298">
        <v>15</v>
      </c>
      <c r="AH876" s="298">
        <v>12</v>
      </c>
      <c r="AI876" s="298">
        <v>3</v>
      </c>
      <c r="AJ876" s="298">
        <v>12</v>
      </c>
      <c r="AK876" s="298">
        <v>16</v>
      </c>
      <c r="AL876" s="298">
        <v>10</v>
      </c>
      <c r="AM876" s="298">
        <v>20</v>
      </c>
      <c r="AN876" s="298">
        <v>20</v>
      </c>
      <c r="AO876" s="298">
        <v>4</v>
      </c>
      <c r="AP876" s="298">
        <v>20</v>
      </c>
      <c r="AQ876" s="298">
        <v>5</v>
      </c>
      <c r="AR876" s="298">
        <v>18</v>
      </c>
      <c r="AS876" s="298">
        <v>9</v>
      </c>
      <c r="AT876" s="298">
        <v>3</v>
      </c>
      <c r="AU876" s="298">
        <v>10</v>
      </c>
      <c r="AV876" s="298">
        <f t="shared" si="59"/>
        <v>10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456.07</v>
      </c>
      <c r="G877" s="271">
        <v>461.9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465.59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14</v>
      </c>
      <c r="AD877" s="298">
        <v>14</v>
      </c>
      <c r="AE877" s="298">
        <v>9</v>
      </c>
      <c r="AF877" s="298">
        <v>8</v>
      </c>
      <c r="AG877" s="298">
        <v>3</v>
      </c>
      <c r="AH877" s="298">
        <v>17</v>
      </c>
      <c r="AI877" s="298">
        <v>14</v>
      </c>
      <c r="AJ877" s="298">
        <v>13</v>
      </c>
      <c r="AK877" s="298">
        <v>11</v>
      </c>
      <c r="AL877" s="298">
        <v>4</v>
      </c>
      <c r="AM877" s="298">
        <v>19</v>
      </c>
      <c r="AN877" s="298">
        <v>19</v>
      </c>
      <c r="AO877" s="298">
        <v>10</v>
      </c>
      <c r="AP877" s="298">
        <v>4</v>
      </c>
      <c r="AQ877" s="298">
        <v>4</v>
      </c>
      <c r="AR877" s="298">
        <v>18</v>
      </c>
      <c r="AS877" s="298">
        <v>18</v>
      </c>
      <c r="AT877" s="298">
        <v>1</v>
      </c>
      <c r="AU877" s="298">
        <v>19</v>
      </c>
      <c r="AV877" s="298">
        <f t="shared" si="59"/>
        <v>19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10</v>
      </c>
      <c r="AD878" s="298">
        <v>10</v>
      </c>
      <c r="AE878" s="298">
        <v>15</v>
      </c>
      <c r="AF878" s="298">
        <v>14</v>
      </c>
      <c r="AG878" s="298">
        <v>20</v>
      </c>
      <c r="AH878" s="298">
        <v>19</v>
      </c>
      <c r="AI878" s="298">
        <v>9</v>
      </c>
      <c r="AJ878" s="298">
        <v>8</v>
      </c>
      <c r="AK878" s="298">
        <v>13</v>
      </c>
      <c r="AL878" s="298">
        <v>14</v>
      </c>
      <c r="AM878" s="298">
        <v>9</v>
      </c>
      <c r="AN878" s="298">
        <v>9</v>
      </c>
      <c r="AO878" s="298">
        <v>9</v>
      </c>
      <c r="AP878" s="298">
        <v>5</v>
      </c>
      <c r="AQ878" s="298">
        <v>14</v>
      </c>
      <c r="AR878" s="298">
        <v>5</v>
      </c>
      <c r="AS878" s="298">
        <v>10</v>
      </c>
      <c r="AT878" s="298">
        <v>4</v>
      </c>
      <c r="AU878" s="298">
        <v>18</v>
      </c>
      <c r="AV878" s="298">
        <f t="shared" si="59"/>
        <v>18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6</v>
      </c>
      <c r="AD879" s="298">
        <v>6</v>
      </c>
      <c r="AE879" s="298">
        <v>10</v>
      </c>
      <c r="AF879" s="298">
        <v>9</v>
      </c>
      <c r="AG879" s="298">
        <v>1</v>
      </c>
      <c r="AH879" s="298">
        <v>18</v>
      </c>
      <c r="AI879" s="298">
        <v>7</v>
      </c>
      <c r="AJ879" s="298">
        <v>15</v>
      </c>
      <c r="AK879" s="298">
        <v>18</v>
      </c>
      <c r="AL879" s="298">
        <v>16</v>
      </c>
      <c r="AM879" s="298">
        <v>18</v>
      </c>
      <c r="AN879" s="298">
        <v>18</v>
      </c>
      <c r="AO879" s="298">
        <v>7</v>
      </c>
      <c r="AP879" s="298">
        <v>15</v>
      </c>
      <c r="AQ879" s="298">
        <v>19</v>
      </c>
      <c r="AR879" s="298">
        <v>17</v>
      </c>
      <c r="AS879" s="298">
        <v>19</v>
      </c>
      <c r="AT879" s="298">
        <v>7</v>
      </c>
      <c r="AU879" s="298">
        <v>20</v>
      </c>
      <c r="AV879" s="298">
        <f t="shared" si="59"/>
        <v>20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12</v>
      </c>
      <c r="AD880" s="298">
        <v>12</v>
      </c>
      <c r="AE880" s="298">
        <v>19</v>
      </c>
      <c r="AF880" s="298">
        <v>18</v>
      </c>
      <c r="AG880" s="298">
        <v>8</v>
      </c>
      <c r="AH880" s="298">
        <v>19</v>
      </c>
      <c r="AI880" s="298">
        <v>20</v>
      </c>
      <c r="AJ880" s="298">
        <v>13</v>
      </c>
      <c r="AK880" s="298">
        <v>18</v>
      </c>
      <c r="AL880" s="298">
        <v>11</v>
      </c>
      <c r="AM880" s="298">
        <v>17</v>
      </c>
      <c r="AN880" s="298">
        <v>17</v>
      </c>
      <c r="AO880" s="298">
        <v>19</v>
      </c>
      <c r="AP880" s="298">
        <v>11</v>
      </c>
      <c r="AQ880" s="298">
        <v>15</v>
      </c>
      <c r="AR880" s="298">
        <v>4</v>
      </c>
      <c r="AS880" s="298">
        <v>7</v>
      </c>
      <c r="AT880" s="298">
        <v>2</v>
      </c>
      <c r="AU880" s="298">
        <v>9</v>
      </c>
      <c r="AV880" s="298">
        <f t="shared" si="59"/>
        <v>9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11</v>
      </c>
      <c r="AD881" s="298">
        <v>11</v>
      </c>
      <c r="AE881" s="298">
        <v>11</v>
      </c>
      <c r="AF881" s="298">
        <v>10</v>
      </c>
      <c r="AG881" s="298">
        <v>5</v>
      </c>
      <c r="AH881" s="298">
        <v>4</v>
      </c>
      <c r="AI881" s="298">
        <v>11</v>
      </c>
      <c r="AJ881" s="298">
        <v>2</v>
      </c>
      <c r="AK881" s="298">
        <v>10</v>
      </c>
      <c r="AL881" s="298">
        <v>9</v>
      </c>
      <c r="AM881" s="298">
        <v>8</v>
      </c>
      <c r="AN881" s="298">
        <v>8</v>
      </c>
      <c r="AO881" s="298">
        <v>20</v>
      </c>
      <c r="AP881" s="298">
        <v>7</v>
      </c>
      <c r="AQ881" s="298">
        <v>15</v>
      </c>
      <c r="AR881" s="298">
        <v>13</v>
      </c>
      <c r="AS881" s="298">
        <v>1</v>
      </c>
      <c r="AT881" s="298">
        <v>14</v>
      </c>
      <c r="AU881" s="298">
        <v>15</v>
      </c>
      <c r="AV881" s="298">
        <f t="shared" si="59"/>
        <v>15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13</v>
      </c>
      <c r="AD882" s="298">
        <v>13</v>
      </c>
      <c r="AE882" s="298">
        <v>5</v>
      </c>
      <c r="AF882" s="298">
        <v>5</v>
      </c>
      <c r="AG882" s="298">
        <v>10</v>
      </c>
      <c r="AH882" s="298">
        <v>19</v>
      </c>
      <c r="AI882" s="298">
        <v>16</v>
      </c>
      <c r="AJ882" s="298">
        <v>9</v>
      </c>
      <c r="AK882" s="298">
        <v>18</v>
      </c>
      <c r="AL882" s="298">
        <v>8</v>
      </c>
      <c r="AM882" s="298">
        <v>9</v>
      </c>
      <c r="AN882" s="298">
        <v>9</v>
      </c>
      <c r="AO882" s="298">
        <v>14</v>
      </c>
      <c r="AP882" s="298">
        <v>18</v>
      </c>
      <c r="AQ882" s="298">
        <v>18</v>
      </c>
      <c r="AR882" s="298">
        <v>4</v>
      </c>
      <c r="AS882" s="298">
        <v>14</v>
      </c>
      <c r="AT882" s="298">
        <v>2</v>
      </c>
      <c r="AU882" s="298">
        <v>20</v>
      </c>
      <c r="AV882" s="298">
        <f t="shared" si="59"/>
        <v>20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13</v>
      </c>
      <c r="AD883" s="298">
        <v>13</v>
      </c>
      <c r="AE883" s="298">
        <v>17</v>
      </c>
      <c r="AF883" s="298">
        <v>16</v>
      </c>
      <c r="AG883" s="298">
        <v>11</v>
      </c>
      <c r="AH883" s="298">
        <v>5</v>
      </c>
      <c r="AI883" s="298">
        <v>12</v>
      </c>
      <c r="AJ883" s="298">
        <v>1</v>
      </c>
      <c r="AK883" s="298">
        <v>12</v>
      </c>
      <c r="AL883" s="298">
        <v>13</v>
      </c>
      <c r="AM883" s="298">
        <v>8</v>
      </c>
      <c r="AN883" s="298">
        <v>8</v>
      </c>
      <c r="AO883" s="298">
        <v>15</v>
      </c>
      <c r="AP883" s="298">
        <v>3</v>
      </c>
      <c r="AQ883" s="298">
        <v>4</v>
      </c>
      <c r="AR883" s="298">
        <v>8</v>
      </c>
      <c r="AS883" s="298">
        <v>3</v>
      </c>
      <c r="AT883" s="298">
        <v>7</v>
      </c>
      <c r="AU883" s="298">
        <v>6</v>
      </c>
      <c r="AV883" s="298">
        <f t="shared" si="59"/>
        <v>6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28</v>
      </c>
      <c r="Y884" s="271">
        <v>28.417999999999999</v>
      </c>
      <c r="Z884" s="273">
        <f ca="1">[1]ExtEntry!$N90</f>
        <v>28.417999999999999</v>
      </c>
      <c r="AB884" s="298">
        <v>8</v>
      </c>
      <c r="AC884" s="298">
        <v>3</v>
      </c>
      <c r="AD884" s="298">
        <v>3</v>
      </c>
      <c r="AE884" s="298">
        <v>12</v>
      </c>
      <c r="AF884" s="298">
        <v>11</v>
      </c>
      <c r="AG884" s="298">
        <v>2</v>
      </c>
      <c r="AH884" s="298">
        <v>7</v>
      </c>
      <c r="AI884" s="298">
        <v>1</v>
      </c>
      <c r="AJ884" s="298">
        <v>10</v>
      </c>
      <c r="AK884" s="298">
        <v>3</v>
      </c>
      <c r="AL884" s="298">
        <v>11</v>
      </c>
      <c r="AM884" s="298">
        <v>10</v>
      </c>
      <c r="AN884" s="298">
        <v>10</v>
      </c>
      <c r="AO884" s="298">
        <v>6</v>
      </c>
      <c r="AP884" s="298">
        <v>1</v>
      </c>
      <c r="AQ884" s="298">
        <v>19</v>
      </c>
      <c r="AR884" s="298">
        <v>5</v>
      </c>
      <c r="AS884" s="298">
        <v>3</v>
      </c>
      <c r="AT884" s="298">
        <v>4</v>
      </c>
      <c r="AU884" s="298">
        <v>9</v>
      </c>
      <c r="AV884" s="298">
        <f t="shared" si="59"/>
        <v>9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11</v>
      </c>
      <c r="AD885" s="298">
        <v>11</v>
      </c>
      <c r="AE885" s="298">
        <v>17</v>
      </c>
      <c r="AF885" s="298">
        <v>16</v>
      </c>
      <c r="AG885" s="298">
        <v>9</v>
      </c>
      <c r="AH885" s="298">
        <v>7</v>
      </c>
      <c r="AI885" s="298">
        <v>10</v>
      </c>
      <c r="AJ885" s="298">
        <v>5</v>
      </c>
      <c r="AK885" s="298">
        <v>4</v>
      </c>
      <c r="AL885" s="298">
        <v>15</v>
      </c>
      <c r="AM885" s="298">
        <v>20</v>
      </c>
      <c r="AN885" s="298">
        <v>20</v>
      </c>
      <c r="AO885" s="298">
        <v>14</v>
      </c>
      <c r="AP885" s="298">
        <v>8</v>
      </c>
      <c r="AQ885" s="298">
        <v>3</v>
      </c>
      <c r="AR885" s="298">
        <v>12</v>
      </c>
      <c r="AS885" s="298">
        <v>17</v>
      </c>
      <c r="AT885" s="298">
        <v>5</v>
      </c>
      <c r="AU885" s="298">
        <v>16</v>
      </c>
      <c r="AV885" s="298">
        <f t="shared" si="59"/>
        <v>16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17</v>
      </c>
      <c r="AD886" s="298">
        <v>17</v>
      </c>
      <c r="AE886" s="298">
        <v>3</v>
      </c>
      <c r="AF886" s="298">
        <v>3</v>
      </c>
      <c r="AG886" s="298">
        <v>7</v>
      </c>
      <c r="AH886" s="298">
        <v>11</v>
      </c>
      <c r="AI886" s="298">
        <v>14</v>
      </c>
      <c r="AJ886" s="298">
        <v>6</v>
      </c>
      <c r="AK886" s="298">
        <v>13</v>
      </c>
      <c r="AL886" s="298">
        <v>15</v>
      </c>
      <c r="AM886" s="298">
        <v>13</v>
      </c>
      <c r="AN886" s="298">
        <v>13</v>
      </c>
      <c r="AO886" s="298">
        <v>11</v>
      </c>
      <c r="AP886" s="298">
        <v>3</v>
      </c>
      <c r="AQ886" s="298">
        <v>20</v>
      </c>
      <c r="AR886" s="298">
        <v>6</v>
      </c>
      <c r="AS886" s="298">
        <v>20</v>
      </c>
      <c r="AT886" s="298">
        <v>8</v>
      </c>
      <c r="AU886" s="298">
        <v>17</v>
      </c>
      <c r="AV886" s="298">
        <f t="shared" si="59"/>
        <v>17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17</v>
      </c>
      <c r="AD888" s="298">
        <v>17</v>
      </c>
      <c r="AE888" s="298">
        <v>14</v>
      </c>
      <c r="AF888" s="298">
        <v>14</v>
      </c>
      <c r="AG888" s="298">
        <v>16</v>
      </c>
      <c r="AH888" s="298">
        <v>9</v>
      </c>
      <c r="AI888" s="298">
        <v>3</v>
      </c>
      <c r="AJ888" s="298">
        <v>6</v>
      </c>
      <c r="AK888" s="298">
        <v>18</v>
      </c>
      <c r="AL888" s="298">
        <v>17</v>
      </c>
      <c r="AM888" s="298">
        <v>20</v>
      </c>
      <c r="AN888" s="298">
        <v>20</v>
      </c>
      <c r="AO888" s="298">
        <v>13</v>
      </c>
      <c r="AP888" s="298">
        <v>4</v>
      </c>
      <c r="AQ888" s="298">
        <v>3</v>
      </c>
      <c r="AR888" s="298">
        <v>10</v>
      </c>
      <c r="AS888" s="298">
        <v>7</v>
      </c>
      <c r="AT888" s="298">
        <v>10</v>
      </c>
      <c r="AU888" s="298">
        <v>1</v>
      </c>
      <c r="AV888" s="298">
        <f t="shared" si="59"/>
        <v>1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7</v>
      </c>
      <c r="AD889" s="298">
        <v>7</v>
      </c>
      <c r="AE889" s="298">
        <v>10</v>
      </c>
      <c r="AF889" s="298">
        <v>9</v>
      </c>
      <c r="AG889" s="298">
        <v>16</v>
      </c>
      <c r="AH889" s="298">
        <v>1</v>
      </c>
      <c r="AI889" s="298">
        <v>17</v>
      </c>
      <c r="AJ889" s="298">
        <v>2</v>
      </c>
      <c r="AK889" s="298">
        <v>5</v>
      </c>
      <c r="AL889" s="298">
        <v>10</v>
      </c>
      <c r="AM889" s="298">
        <v>20</v>
      </c>
      <c r="AN889" s="298">
        <v>20</v>
      </c>
      <c r="AO889" s="298">
        <v>9</v>
      </c>
      <c r="AP889" s="298">
        <v>6</v>
      </c>
      <c r="AQ889" s="298">
        <v>3</v>
      </c>
      <c r="AR889" s="298">
        <v>12</v>
      </c>
      <c r="AS889" s="298">
        <v>5</v>
      </c>
      <c r="AT889" s="298">
        <v>5</v>
      </c>
      <c r="AU889" s="298">
        <v>17</v>
      </c>
      <c r="AV889" s="298">
        <f t="shared" si="59"/>
        <v>17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45887</v>
      </c>
      <c r="G894" s="128">
        <f t="shared" si="61"/>
        <v>45888</v>
      </c>
      <c r="H894" s="128">
        <f t="shared" si="61"/>
        <v>45889</v>
      </c>
      <c r="I894" s="128">
        <f t="shared" si="61"/>
        <v>45890</v>
      </c>
      <c r="J894" s="128">
        <f t="shared" si="61"/>
        <v>45891</v>
      </c>
      <c r="K894" s="128">
        <f t="shared" si="61"/>
        <v>45894</v>
      </c>
      <c r="L894" s="128">
        <f t="shared" si="61"/>
        <v>45895</v>
      </c>
      <c r="M894" s="128">
        <f t="shared" si="61"/>
        <v>45896</v>
      </c>
      <c r="N894" s="128">
        <f t="shared" si="61"/>
        <v>45897</v>
      </c>
      <c r="O894" s="128">
        <f t="shared" si="61"/>
        <v>45898</v>
      </c>
      <c r="P894" s="128">
        <f t="shared" si="61"/>
        <v>45901</v>
      </c>
      <c r="Q894" s="128">
        <f t="shared" si="61"/>
        <v>45902</v>
      </c>
      <c r="R894" s="128">
        <f t="shared" si="61"/>
        <v>45903</v>
      </c>
      <c r="S894" s="128">
        <f t="shared" si="61"/>
        <v>45904</v>
      </c>
      <c r="T894" s="128">
        <f t="shared" si="61"/>
        <v>45905</v>
      </c>
      <c r="U894" s="128">
        <f t="shared" si="61"/>
        <v>45908</v>
      </c>
      <c r="V894" s="128">
        <f t="shared" si="61"/>
        <v>45909</v>
      </c>
      <c r="W894" s="128">
        <f t="shared" si="61"/>
        <v>45910</v>
      </c>
      <c r="X894" s="128">
        <f t="shared" si="61"/>
        <v>45911</v>
      </c>
      <c r="Y894" s="128">
        <f t="shared" si="61"/>
        <v>45912</v>
      </c>
      <c r="Z894" s="128">
        <f t="shared" ca="1" si="61"/>
        <v>45912</v>
      </c>
      <c r="AB894" s="128">
        <f t="shared" ref="AB894:AV894" si="62">F795</f>
        <v>45887</v>
      </c>
      <c r="AC894" s="128">
        <f t="shared" si="62"/>
        <v>45888</v>
      </c>
      <c r="AD894" s="128">
        <f t="shared" si="62"/>
        <v>45889</v>
      </c>
      <c r="AE894" s="128">
        <f t="shared" si="62"/>
        <v>45890</v>
      </c>
      <c r="AF894" s="128">
        <f t="shared" si="62"/>
        <v>45891</v>
      </c>
      <c r="AG894" s="128">
        <f t="shared" si="62"/>
        <v>45894</v>
      </c>
      <c r="AH894" s="128">
        <f t="shared" si="62"/>
        <v>45895</v>
      </c>
      <c r="AI894" s="128">
        <f t="shared" si="62"/>
        <v>45896</v>
      </c>
      <c r="AJ894" s="128">
        <f t="shared" si="62"/>
        <v>45897</v>
      </c>
      <c r="AK894" s="128">
        <f t="shared" si="62"/>
        <v>45898</v>
      </c>
      <c r="AL894" s="128">
        <f t="shared" si="62"/>
        <v>45901</v>
      </c>
      <c r="AM894" s="128">
        <f t="shared" si="62"/>
        <v>45902</v>
      </c>
      <c r="AN894" s="128">
        <f t="shared" si="62"/>
        <v>45903</v>
      </c>
      <c r="AO894" s="128">
        <f t="shared" si="62"/>
        <v>45904</v>
      </c>
      <c r="AP894" s="128">
        <f t="shared" si="62"/>
        <v>45905</v>
      </c>
      <c r="AQ894" s="128">
        <f t="shared" si="62"/>
        <v>45908</v>
      </c>
      <c r="AR894" s="128">
        <f t="shared" si="62"/>
        <v>45909</v>
      </c>
      <c r="AS894" s="128">
        <f t="shared" si="62"/>
        <v>45910</v>
      </c>
      <c r="AT894" s="128">
        <f t="shared" si="62"/>
        <v>45911</v>
      </c>
      <c r="AU894" s="128">
        <f t="shared" si="62"/>
        <v>45912</v>
      </c>
      <c r="AV894" s="128">
        <f t="shared" ca="1" si="62"/>
        <v>45912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43</v>
      </c>
      <c r="AD896" s="269">
        <v>43</v>
      </c>
      <c r="AE896" s="271">
        <v>38</v>
      </c>
      <c r="AF896" s="271">
        <v>36</v>
      </c>
      <c r="AG896" s="271">
        <v>26</v>
      </c>
      <c r="AH896" s="271">
        <v>23</v>
      </c>
      <c r="AI896" s="271">
        <v>28</v>
      </c>
      <c r="AJ896" s="271">
        <v>30</v>
      </c>
      <c r="AK896" s="271">
        <v>32</v>
      </c>
      <c r="AL896" s="271">
        <v>32</v>
      </c>
      <c r="AM896" s="271">
        <v>28</v>
      </c>
      <c r="AN896" s="271">
        <v>28</v>
      </c>
      <c r="AO896" s="298">
        <v>40</v>
      </c>
      <c r="AP896" s="298">
        <v>57</v>
      </c>
      <c r="AQ896" s="298">
        <v>62</v>
      </c>
      <c r="AR896" s="298">
        <v>55</v>
      </c>
      <c r="AS896" s="298">
        <v>48</v>
      </c>
      <c r="AT896" s="298">
        <v>49</v>
      </c>
      <c r="AU896" s="298">
        <v>50</v>
      </c>
      <c r="AV896" s="298">
        <f t="shared" ref="AV896:AV927" si="63">INT(100-100/(1+SUMIF(F599:Y599,"&gt;0",F599:Y599)/ABS(SUMIF(F599:Y599,"&lt;0",F599:Y599))))</f>
        <v>50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33</v>
      </c>
      <c r="AD897" s="298">
        <v>33</v>
      </c>
      <c r="AE897" s="271">
        <v>31</v>
      </c>
      <c r="AF897" s="271">
        <v>31</v>
      </c>
      <c r="AG897" s="271">
        <v>29</v>
      </c>
      <c r="AH897" s="271">
        <v>30</v>
      </c>
      <c r="AI897" s="271">
        <v>29</v>
      </c>
      <c r="AJ897" s="271">
        <v>31</v>
      </c>
      <c r="AK897" s="271">
        <v>33</v>
      </c>
      <c r="AL897" s="271">
        <v>31</v>
      </c>
      <c r="AM897" s="271">
        <v>28</v>
      </c>
      <c r="AN897" s="271">
        <v>28</v>
      </c>
      <c r="AO897" s="298">
        <v>29</v>
      </c>
      <c r="AP897" s="298">
        <v>40</v>
      </c>
      <c r="AQ897" s="298">
        <v>45</v>
      </c>
      <c r="AR897" s="298">
        <v>44</v>
      </c>
      <c r="AS897" s="298">
        <v>40</v>
      </c>
      <c r="AT897" s="298">
        <v>38</v>
      </c>
      <c r="AU897" s="298">
        <v>33</v>
      </c>
      <c r="AV897" s="298">
        <f t="shared" si="63"/>
        <v>33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56.2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35</v>
      </c>
      <c r="AD898" s="298">
        <v>35</v>
      </c>
      <c r="AE898" s="271">
        <v>34</v>
      </c>
      <c r="AF898" s="271">
        <v>33</v>
      </c>
      <c r="AG898" s="271">
        <v>28</v>
      </c>
      <c r="AH898" s="271">
        <v>31</v>
      </c>
      <c r="AI898" s="271">
        <v>31</v>
      </c>
      <c r="AJ898" s="271">
        <v>31</v>
      </c>
      <c r="AK898" s="271">
        <v>31</v>
      </c>
      <c r="AL898" s="271">
        <v>44</v>
      </c>
      <c r="AM898" s="271">
        <v>48</v>
      </c>
      <c r="AN898" s="271">
        <v>48</v>
      </c>
      <c r="AO898" s="298">
        <v>46</v>
      </c>
      <c r="AP898" s="298">
        <v>47</v>
      </c>
      <c r="AQ898" s="298">
        <v>51</v>
      </c>
      <c r="AR898" s="298">
        <v>53</v>
      </c>
      <c r="AS898" s="298">
        <v>45</v>
      </c>
      <c r="AT898" s="298">
        <v>39</v>
      </c>
      <c r="AU898" s="298">
        <v>36</v>
      </c>
      <c r="AV898" s="298">
        <f t="shared" si="63"/>
        <v>36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44</v>
      </c>
      <c r="AD899" s="298">
        <v>44</v>
      </c>
      <c r="AE899" s="271">
        <v>40</v>
      </c>
      <c r="AF899" s="271">
        <v>37</v>
      </c>
      <c r="AG899" s="271">
        <v>34</v>
      </c>
      <c r="AH899" s="271">
        <v>31</v>
      </c>
      <c r="AI899" s="271">
        <v>31</v>
      </c>
      <c r="AJ899" s="271">
        <v>31</v>
      </c>
      <c r="AK899" s="271">
        <v>30</v>
      </c>
      <c r="AL899" s="271">
        <v>29</v>
      </c>
      <c r="AM899" s="271">
        <v>26</v>
      </c>
      <c r="AN899" s="271">
        <v>26</v>
      </c>
      <c r="AO899" s="298">
        <v>27</v>
      </c>
      <c r="AP899" s="298">
        <v>40</v>
      </c>
      <c r="AQ899" s="298">
        <v>58</v>
      </c>
      <c r="AR899" s="298">
        <v>59</v>
      </c>
      <c r="AS899" s="298">
        <v>50</v>
      </c>
      <c r="AT899" s="298">
        <v>50</v>
      </c>
      <c r="AU899" s="298">
        <v>46</v>
      </c>
      <c r="AV899" s="298">
        <f t="shared" si="63"/>
        <v>46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1.99</v>
      </c>
      <c r="R900" s="263">
        <v>1.99</v>
      </c>
      <c r="S900" s="263">
        <v>1.99</v>
      </c>
      <c r="T900" s="263">
        <v>1.99</v>
      </c>
      <c r="U900" s="263">
        <v>1.91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38</v>
      </c>
      <c r="AD900" s="298">
        <v>38</v>
      </c>
      <c r="AE900" s="271">
        <v>37</v>
      </c>
      <c r="AF900" s="271">
        <v>38</v>
      </c>
      <c r="AG900" s="271">
        <v>34</v>
      </c>
      <c r="AH900" s="271">
        <v>35</v>
      </c>
      <c r="AI900" s="271">
        <v>33</v>
      </c>
      <c r="AJ900" s="271">
        <v>38</v>
      </c>
      <c r="AK900" s="271">
        <v>34</v>
      </c>
      <c r="AL900" s="271">
        <v>27</v>
      </c>
      <c r="AM900" s="271">
        <v>22</v>
      </c>
      <c r="AN900" s="271">
        <v>22</v>
      </c>
      <c r="AO900" s="298">
        <v>32</v>
      </c>
      <c r="AP900" s="298">
        <v>35</v>
      </c>
      <c r="AQ900" s="298">
        <v>36</v>
      </c>
      <c r="AR900" s="298">
        <v>38</v>
      </c>
      <c r="AS900" s="298">
        <v>39</v>
      </c>
      <c r="AT900" s="298">
        <v>27</v>
      </c>
      <c r="AU900" s="298">
        <v>29</v>
      </c>
      <c r="AV900" s="298">
        <f t="shared" si="63"/>
        <v>29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823.9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819.7</v>
      </c>
      <c r="R901" s="271">
        <v>819.7</v>
      </c>
      <c r="S901" s="271">
        <v>819.7</v>
      </c>
      <c r="T901" s="271">
        <v>819.7</v>
      </c>
      <c r="U901" s="271">
        <v>804.6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52</v>
      </c>
      <c r="AD901" s="298">
        <v>52</v>
      </c>
      <c r="AE901" s="271">
        <v>40</v>
      </c>
      <c r="AF901" s="271">
        <v>45</v>
      </c>
      <c r="AG901" s="271">
        <v>47</v>
      </c>
      <c r="AH901" s="271">
        <v>51</v>
      </c>
      <c r="AI901" s="271">
        <v>51</v>
      </c>
      <c r="AJ901" s="271">
        <v>51</v>
      </c>
      <c r="AK901" s="271">
        <v>47</v>
      </c>
      <c r="AL901" s="271">
        <v>50</v>
      </c>
      <c r="AM901" s="271">
        <v>34</v>
      </c>
      <c r="AN901" s="271">
        <v>34</v>
      </c>
      <c r="AO901" s="269">
        <v>38</v>
      </c>
      <c r="AP901" s="298">
        <v>57</v>
      </c>
      <c r="AQ901" s="298">
        <v>69</v>
      </c>
      <c r="AR901" s="298">
        <v>69</v>
      </c>
      <c r="AS901" s="298">
        <v>70</v>
      </c>
      <c r="AT901" s="298">
        <v>70</v>
      </c>
      <c r="AU901" s="298">
        <v>69</v>
      </c>
      <c r="AV901" s="298">
        <f t="shared" si="63"/>
        <v>69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87.25</v>
      </c>
      <c r="R902" s="271">
        <v>87.25</v>
      </c>
      <c r="S902" s="271">
        <v>85.984999999999999</v>
      </c>
      <c r="T902" s="271">
        <v>84.3</v>
      </c>
      <c r="U902" s="271">
        <v>83.43</v>
      </c>
      <c r="V902" s="271">
        <v>83.43</v>
      </c>
      <c r="W902" s="271">
        <v>82.41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63</v>
      </c>
      <c r="AD902" s="298">
        <v>63</v>
      </c>
      <c r="AE902" s="271">
        <v>71</v>
      </c>
      <c r="AF902" s="271">
        <v>71</v>
      </c>
      <c r="AG902" s="271">
        <v>72</v>
      </c>
      <c r="AH902" s="271">
        <v>68</v>
      </c>
      <c r="AI902" s="271">
        <v>65</v>
      </c>
      <c r="AJ902" s="271">
        <v>60</v>
      </c>
      <c r="AK902" s="271">
        <v>58</v>
      </c>
      <c r="AL902" s="271">
        <v>61</v>
      </c>
      <c r="AM902" s="271">
        <v>63</v>
      </c>
      <c r="AN902" s="271">
        <v>63</v>
      </c>
      <c r="AO902" s="298">
        <v>60</v>
      </c>
      <c r="AP902" s="298">
        <v>77</v>
      </c>
      <c r="AQ902" s="298">
        <v>75</v>
      </c>
      <c r="AR902" s="298">
        <v>76</v>
      </c>
      <c r="AS902" s="298">
        <v>74</v>
      </c>
      <c r="AT902" s="298">
        <v>72</v>
      </c>
      <c r="AU902" s="298">
        <v>57</v>
      </c>
      <c r="AV902" s="298">
        <f t="shared" si="63"/>
        <v>57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61</v>
      </c>
      <c r="AD903" s="298">
        <v>61</v>
      </c>
      <c r="AE903" s="271">
        <v>54</v>
      </c>
      <c r="AF903" s="271">
        <v>48</v>
      </c>
      <c r="AG903" s="271">
        <v>42</v>
      </c>
      <c r="AH903" s="271">
        <v>39</v>
      </c>
      <c r="AI903" s="271">
        <v>43</v>
      </c>
      <c r="AJ903" s="271">
        <v>42</v>
      </c>
      <c r="AK903" s="271">
        <v>39</v>
      </c>
      <c r="AL903" s="271">
        <v>36</v>
      </c>
      <c r="AM903" s="271">
        <v>34</v>
      </c>
      <c r="AN903" s="271">
        <v>34</v>
      </c>
      <c r="AO903" s="298">
        <v>38</v>
      </c>
      <c r="AP903" s="298">
        <v>40</v>
      </c>
      <c r="AQ903" s="298">
        <v>39</v>
      </c>
      <c r="AR903" s="298">
        <v>34</v>
      </c>
      <c r="AS903" s="298">
        <v>36</v>
      </c>
      <c r="AT903" s="298">
        <v>44</v>
      </c>
      <c r="AU903" s="298">
        <v>38</v>
      </c>
      <c r="AV903" s="298">
        <f t="shared" si="63"/>
        <v>38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61</v>
      </c>
      <c r="AD904" s="298">
        <v>61</v>
      </c>
      <c r="AE904" s="271">
        <v>55</v>
      </c>
      <c r="AF904" s="271">
        <v>54</v>
      </c>
      <c r="AG904" s="271">
        <v>56</v>
      </c>
      <c r="AH904" s="271">
        <v>54</v>
      </c>
      <c r="AI904" s="271">
        <v>52</v>
      </c>
      <c r="AJ904" s="271">
        <v>51</v>
      </c>
      <c r="AK904" s="271">
        <v>42</v>
      </c>
      <c r="AL904" s="271">
        <v>46</v>
      </c>
      <c r="AM904" s="271">
        <v>48</v>
      </c>
      <c r="AN904" s="271">
        <v>48</v>
      </c>
      <c r="AO904" s="298">
        <v>44</v>
      </c>
      <c r="AP904" s="298">
        <v>46</v>
      </c>
      <c r="AQ904" s="298">
        <v>50</v>
      </c>
      <c r="AR904" s="298">
        <v>49</v>
      </c>
      <c r="AS904" s="298">
        <v>47</v>
      </c>
      <c r="AT904" s="298">
        <v>49</v>
      </c>
      <c r="AU904" s="298">
        <v>50</v>
      </c>
      <c r="AV904" s="298">
        <f t="shared" si="63"/>
        <v>50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97.448999999999998</v>
      </c>
      <c r="O905" s="271">
        <v>97.49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97.98</v>
      </c>
      <c r="V905" s="271">
        <v>98.139899999999997</v>
      </c>
      <c r="W905" s="271">
        <v>98.38</v>
      </c>
      <c r="X905" s="271">
        <v>99.034999999999997</v>
      </c>
      <c r="Y905" s="271">
        <v>99.7</v>
      </c>
      <c r="Z905" s="273">
        <f ca="1">[1]ExtEntry!$O12</f>
        <v>99.7</v>
      </c>
      <c r="AB905" s="298">
        <v>63</v>
      </c>
      <c r="AC905" s="298">
        <v>60</v>
      </c>
      <c r="AD905" s="298">
        <v>60</v>
      </c>
      <c r="AE905" s="271">
        <v>49</v>
      </c>
      <c r="AF905" s="271">
        <v>47</v>
      </c>
      <c r="AG905" s="271">
        <v>45</v>
      </c>
      <c r="AH905" s="271">
        <v>46</v>
      </c>
      <c r="AI905" s="271">
        <v>43</v>
      </c>
      <c r="AJ905" s="271">
        <v>40</v>
      </c>
      <c r="AK905" s="271">
        <v>42</v>
      </c>
      <c r="AL905" s="271">
        <v>39</v>
      </c>
      <c r="AM905" s="271">
        <v>35</v>
      </c>
      <c r="AN905" s="271">
        <v>35</v>
      </c>
      <c r="AO905" s="298">
        <v>30</v>
      </c>
      <c r="AP905" s="298">
        <v>45</v>
      </c>
      <c r="AQ905" s="298">
        <v>52</v>
      </c>
      <c r="AR905" s="298">
        <v>54</v>
      </c>
      <c r="AS905" s="298">
        <v>55</v>
      </c>
      <c r="AT905" s="298">
        <v>50</v>
      </c>
      <c r="AU905" s="298">
        <v>54</v>
      </c>
      <c r="AV905" s="298">
        <f t="shared" si="63"/>
        <v>54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41</v>
      </c>
      <c r="AD906" s="298">
        <v>41</v>
      </c>
      <c r="AE906" s="271">
        <v>33</v>
      </c>
      <c r="AF906" s="271">
        <v>33</v>
      </c>
      <c r="AG906" s="271">
        <v>32</v>
      </c>
      <c r="AH906" s="271">
        <v>30</v>
      </c>
      <c r="AI906" s="271">
        <v>34</v>
      </c>
      <c r="AJ906" s="271">
        <v>32</v>
      </c>
      <c r="AK906" s="271">
        <v>35</v>
      </c>
      <c r="AL906" s="271">
        <v>32</v>
      </c>
      <c r="AM906" s="271">
        <v>30</v>
      </c>
      <c r="AN906" s="271">
        <v>30</v>
      </c>
      <c r="AO906" s="298">
        <v>28</v>
      </c>
      <c r="AP906" s="298">
        <v>33</v>
      </c>
      <c r="AQ906" s="298">
        <v>36</v>
      </c>
      <c r="AR906" s="298">
        <v>34</v>
      </c>
      <c r="AS906" s="298">
        <v>42</v>
      </c>
      <c r="AT906" s="298">
        <v>36</v>
      </c>
      <c r="AU906" s="298">
        <v>35</v>
      </c>
      <c r="AV906" s="298">
        <f t="shared" si="63"/>
        <v>35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73.23</v>
      </c>
      <c r="Q907" s="271">
        <v>74.53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74.995000000000005</v>
      </c>
      <c r="Y907" s="271">
        <v>75.55</v>
      </c>
      <c r="Z907" s="273">
        <f ca="1">[1]ExtEntry!$O14</f>
        <v>75.55</v>
      </c>
      <c r="AB907" s="298">
        <v>55</v>
      </c>
      <c r="AC907" s="298">
        <v>60</v>
      </c>
      <c r="AD907" s="298">
        <v>60</v>
      </c>
      <c r="AE907" s="271">
        <v>69</v>
      </c>
      <c r="AF907" s="271">
        <v>74</v>
      </c>
      <c r="AG907" s="271">
        <v>73</v>
      </c>
      <c r="AH907" s="271">
        <v>74</v>
      </c>
      <c r="AI907" s="271">
        <v>74</v>
      </c>
      <c r="AJ907" s="271">
        <v>73</v>
      </c>
      <c r="AK907" s="271">
        <v>86</v>
      </c>
      <c r="AL907" s="271">
        <v>85</v>
      </c>
      <c r="AM907" s="271">
        <v>92</v>
      </c>
      <c r="AN907" s="271">
        <v>92</v>
      </c>
      <c r="AO907" s="298">
        <v>86</v>
      </c>
      <c r="AP907" s="298">
        <v>83</v>
      </c>
      <c r="AQ907" s="298">
        <v>66</v>
      </c>
      <c r="AR907" s="298">
        <v>70</v>
      </c>
      <c r="AS907" s="298">
        <v>71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60</v>
      </c>
      <c r="AD908" s="298">
        <v>60</v>
      </c>
      <c r="AE908" s="271">
        <v>50</v>
      </c>
      <c r="AF908" s="271">
        <v>46</v>
      </c>
      <c r="AG908" s="271">
        <v>44</v>
      </c>
      <c r="AH908" s="271">
        <v>44</v>
      </c>
      <c r="AI908" s="271">
        <v>44</v>
      </c>
      <c r="AJ908" s="271">
        <v>55</v>
      </c>
      <c r="AK908" s="271">
        <v>53</v>
      </c>
      <c r="AL908" s="271">
        <v>52</v>
      </c>
      <c r="AM908" s="271">
        <v>50</v>
      </c>
      <c r="AN908" s="271">
        <v>50</v>
      </c>
      <c r="AO908" s="298">
        <v>49</v>
      </c>
      <c r="AP908" s="298">
        <v>48</v>
      </c>
      <c r="AQ908" s="298">
        <v>50</v>
      </c>
      <c r="AR908" s="298">
        <v>48</v>
      </c>
      <c r="AS908" s="298">
        <v>46</v>
      </c>
      <c r="AT908" s="298">
        <v>35</v>
      </c>
      <c r="AU908" s="298">
        <v>36</v>
      </c>
      <c r="AV908" s="298">
        <f t="shared" si="63"/>
        <v>36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46</v>
      </c>
      <c r="AF909" s="271">
        <v>48</v>
      </c>
      <c r="AG909" s="271">
        <v>49</v>
      </c>
      <c r="AH909" s="271">
        <v>47</v>
      </c>
      <c r="AI909" s="271">
        <v>43</v>
      </c>
      <c r="AJ909" s="271">
        <v>38</v>
      </c>
      <c r="AK909" s="271">
        <v>38</v>
      </c>
      <c r="AL909" s="271">
        <v>41</v>
      </c>
      <c r="AM909" s="271">
        <v>40</v>
      </c>
      <c r="AN909" s="271">
        <v>40</v>
      </c>
      <c r="AO909" s="298">
        <v>38</v>
      </c>
      <c r="AP909" s="298">
        <v>46</v>
      </c>
      <c r="AQ909" s="298">
        <v>55</v>
      </c>
      <c r="AR909" s="298">
        <v>46</v>
      </c>
      <c r="AS909" s="298">
        <v>44</v>
      </c>
      <c r="AT909" s="298">
        <v>45</v>
      </c>
      <c r="AU909" s="298">
        <v>36</v>
      </c>
      <c r="AV909" s="298">
        <f t="shared" si="63"/>
        <v>36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32</v>
      </c>
      <c r="AD910" s="298">
        <v>32</v>
      </c>
      <c r="AE910" s="271">
        <v>25</v>
      </c>
      <c r="AF910" s="271">
        <v>28</v>
      </c>
      <c r="AG910" s="271">
        <v>30</v>
      </c>
      <c r="AH910" s="271">
        <v>30</v>
      </c>
      <c r="AI910" s="271">
        <v>28</v>
      </c>
      <c r="AJ910" s="271">
        <v>24</v>
      </c>
      <c r="AK910" s="271">
        <v>35</v>
      </c>
      <c r="AL910" s="271">
        <v>31</v>
      </c>
      <c r="AM910" s="271">
        <v>30</v>
      </c>
      <c r="AN910" s="271">
        <v>30</v>
      </c>
      <c r="AO910" s="298">
        <v>34</v>
      </c>
      <c r="AP910" s="298">
        <v>43</v>
      </c>
      <c r="AQ910" s="298">
        <v>58</v>
      </c>
      <c r="AR910" s="298">
        <v>61</v>
      </c>
      <c r="AS910" s="298">
        <v>58</v>
      </c>
      <c r="AT910" s="298">
        <v>64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54</v>
      </c>
      <c r="AD911" s="298">
        <v>54</v>
      </c>
      <c r="AE911" s="271">
        <v>52</v>
      </c>
      <c r="AF911" s="271">
        <v>55</v>
      </c>
      <c r="AG911" s="271">
        <v>56</v>
      </c>
      <c r="AH911" s="271">
        <v>55</v>
      </c>
      <c r="AI911" s="271">
        <v>51</v>
      </c>
      <c r="AJ911" s="271">
        <v>43</v>
      </c>
      <c r="AK911" s="271">
        <v>48</v>
      </c>
      <c r="AL911" s="271">
        <v>49</v>
      </c>
      <c r="AM911" s="271">
        <v>47</v>
      </c>
      <c r="AN911" s="271">
        <v>47</v>
      </c>
      <c r="AO911" s="298">
        <v>48</v>
      </c>
      <c r="AP911" s="298">
        <v>56</v>
      </c>
      <c r="AQ911" s="298">
        <v>54</v>
      </c>
      <c r="AR911" s="298">
        <v>57</v>
      </c>
      <c r="AS911" s="298">
        <v>49</v>
      </c>
      <c r="AT911" s="298">
        <v>46</v>
      </c>
      <c r="AU911" s="298">
        <v>42</v>
      </c>
      <c r="AV911" s="298">
        <f t="shared" si="63"/>
        <v>42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34</v>
      </c>
      <c r="AD912" s="298">
        <v>34</v>
      </c>
      <c r="AE912" s="271">
        <v>31</v>
      </c>
      <c r="AF912" s="271">
        <v>32</v>
      </c>
      <c r="AG912" s="271">
        <v>29</v>
      </c>
      <c r="AH912" s="271">
        <v>28</v>
      </c>
      <c r="AI912" s="271">
        <v>26</v>
      </c>
      <c r="AJ912" s="271">
        <v>26</v>
      </c>
      <c r="AK912" s="271">
        <v>26</v>
      </c>
      <c r="AL912" s="271">
        <v>31</v>
      </c>
      <c r="AM912" s="271">
        <v>30</v>
      </c>
      <c r="AN912" s="271">
        <v>30</v>
      </c>
      <c r="AO912" s="298">
        <v>32</v>
      </c>
      <c r="AP912" s="298">
        <v>40</v>
      </c>
      <c r="AQ912" s="298">
        <v>46</v>
      </c>
      <c r="AR912" s="298">
        <v>54</v>
      </c>
      <c r="AS912" s="298">
        <v>52</v>
      </c>
      <c r="AT912" s="298">
        <v>51</v>
      </c>
      <c r="AU912" s="298">
        <v>36</v>
      </c>
      <c r="AV912" s="298">
        <f t="shared" si="63"/>
        <v>36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49</v>
      </c>
      <c r="AD913" s="298">
        <v>49</v>
      </c>
      <c r="AE913" s="271">
        <v>52</v>
      </c>
      <c r="AF913" s="271">
        <v>47</v>
      </c>
      <c r="AG913" s="271">
        <v>39</v>
      </c>
      <c r="AH913" s="271">
        <v>39</v>
      </c>
      <c r="AI913" s="271">
        <v>52</v>
      </c>
      <c r="AJ913" s="271">
        <v>57</v>
      </c>
      <c r="AK913" s="271">
        <v>55</v>
      </c>
      <c r="AL913" s="271">
        <v>53</v>
      </c>
      <c r="AM913" s="271">
        <v>46</v>
      </c>
      <c r="AN913" s="271">
        <v>46</v>
      </c>
      <c r="AO913" s="298">
        <v>41</v>
      </c>
      <c r="AP913" s="298">
        <v>43</v>
      </c>
      <c r="AQ913" s="298">
        <v>46</v>
      </c>
      <c r="AR913" s="298">
        <v>37</v>
      </c>
      <c r="AS913" s="298">
        <v>40</v>
      </c>
      <c r="AT913" s="298">
        <v>40</v>
      </c>
      <c r="AU913" s="298">
        <v>42</v>
      </c>
      <c r="AV913" s="298">
        <f t="shared" si="63"/>
        <v>42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0.97989999999999999</v>
      </c>
      <c r="M914" s="271">
        <v>0.97570000000000001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56</v>
      </c>
      <c r="AD914" s="298">
        <v>56</v>
      </c>
      <c r="AE914" s="271">
        <v>49</v>
      </c>
      <c r="AF914" s="271">
        <v>55</v>
      </c>
      <c r="AG914" s="271">
        <v>65</v>
      </c>
      <c r="AH914" s="271">
        <v>94</v>
      </c>
      <c r="AI914" s="271">
        <v>52</v>
      </c>
      <c r="AJ914" s="271">
        <v>51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50</v>
      </c>
      <c r="AP914" s="298">
        <v>50</v>
      </c>
      <c r="AQ914" s="298">
        <v>50</v>
      </c>
      <c r="AR914" s="298">
        <v>50</v>
      </c>
      <c r="AS914" s="298">
        <v>48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84</v>
      </c>
      <c r="AG915" s="271">
        <v>82</v>
      </c>
      <c r="AH915" s="271">
        <v>81</v>
      </c>
      <c r="AI915" s="271">
        <v>76</v>
      </c>
      <c r="AJ915" s="271">
        <v>65</v>
      </c>
      <c r="AK915" s="271">
        <v>66</v>
      </c>
      <c r="AL915" s="271">
        <v>62</v>
      </c>
      <c r="AM915" s="271">
        <v>58</v>
      </c>
      <c r="AN915" s="271">
        <v>58</v>
      </c>
      <c r="AO915" s="298">
        <v>56</v>
      </c>
      <c r="AP915" s="298">
        <v>54</v>
      </c>
      <c r="AQ915" s="298">
        <v>59</v>
      </c>
      <c r="AR915" s="298">
        <v>58</v>
      </c>
      <c r="AS915" s="298">
        <v>54</v>
      </c>
      <c r="AT915" s="298">
        <v>60</v>
      </c>
      <c r="AU915" s="298">
        <v>52</v>
      </c>
      <c r="AV915" s="298">
        <f t="shared" si="63"/>
        <v>52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24.679300000000001</v>
      </c>
      <c r="X916" s="271">
        <v>24.96</v>
      </c>
      <c r="Y916" s="271">
        <v>25.1</v>
      </c>
      <c r="Z916" s="273">
        <f ca="1">[1]ExtEntry!$O23</f>
        <v>25.1</v>
      </c>
      <c r="AB916" s="298">
        <v>50</v>
      </c>
      <c r="AC916" s="298">
        <v>47</v>
      </c>
      <c r="AD916" s="298">
        <v>47</v>
      </c>
      <c r="AE916" s="271">
        <v>39</v>
      </c>
      <c r="AF916" s="271">
        <v>36</v>
      </c>
      <c r="AG916" s="271">
        <v>36</v>
      </c>
      <c r="AH916" s="271">
        <v>40</v>
      </c>
      <c r="AI916" s="271">
        <v>36</v>
      </c>
      <c r="AJ916" s="271">
        <v>34</v>
      </c>
      <c r="AK916" s="271">
        <v>41</v>
      </c>
      <c r="AL916" s="271">
        <v>35</v>
      </c>
      <c r="AM916" s="271">
        <v>32</v>
      </c>
      <c r="AN916" s="271">
        <v>32</v>
      </c>
      <c r="AO916" s="298">
        <v>31</v>
      </c>
      <c r="AP916" s="298">
        <v>44</v>
      </c>
      <c r="AQ916" s="298">
        <v>52</v>
      </c>
      <c r="AR916" s="298">
        <v>54</v>
      </c>
      <c r="AS916" s="298">
        <v>61</v>
      </c>
      <c r="AT916" s="298">
        <v>58</v>
      </c>
      <c r="AU916" s="298">
        <v>56</v>
      </c>
      <c r="AV916" s="298">
        <f t="shared" si="63"/>
        <v>56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53</v>
      </c>
      <c r="AD917" s="298">
        <v>53</v>
      </c>
      <c r="AE917" s="271">
        <v>54</v>
      </c>
      <c r="AF917" s="271">
        <v>56</v>
      </c>
      <c r="AG917" s="271">
        <v>52</v>
      </c>
      <c r="AH917" s="271">
        <v>52</v>
      </c>
      <c r="AI917" s="271">
        <v>45</v>
      </c>
      <c r="AJ917" s="271">
        <v>42</v>
      </c>
      <c r="AK917" s="271">
        <v>50</v>
      </c>
      <c r="AL917" s="271">
        <v>51</v>
      </c>
      <c r="AM917" s="271">
        <v>47</v>
      </c>
      <c r="AN917" s="271">
        <v>47</v>
      </c>
      <c r="AO917" s="298">
        <v>49</v>
      </c>
      <c r="AP917" s="298">
        <v>54</v>
      </c>
      <c r="AQ917" s="298">
        <v>57</v>
      </c>
      <c r="AR917" s="298">
        <v>53</v>
      </c>
      <c r="AS917" s="298">
        <v>50</v>
      </c>
      <c r="AT917" s="298">
        <v>40</v>
      </c>
      <c r="AU917" s="298">
        <v>34</v>
      </c>
      <c r="AV917" s="298">
        <f t="shared" si="63"/>
        <v>34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393.9</v>
      </c>
      <c r="J918" s="271">
        <v>393.9</v>
      </c>
      <c r="K918" s="271">
        <v>393.9</v>
      </c>
      <c r="L918" s="271">
        <v>396.7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397.9</v>
      </c>
      <c r="W918" s="271">
        <v>398.7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61</v>
      </c>
      <c r="AD918" s="298">
        <v>61</v>
      </c>
      <c r="AE918" s="271">
        <v>60</v>
      </c>
      <c r="AF918" s="271">
        <v>65</v>
      </c>
      <c r="AG918" s="271">
        <v>61</v>
      </c>
      <c r="AH918" s="271">
        <v>67</v>
      </c>
      <c r="AI918" s="271">
        <v>63</v>
      </c>
      <c r="AJ918" s="271">
        <v>56</v>
      </c>
      <c r="AK918" s="271">
        <v>58</v>
      </c>
      <c r="AL918" s="271">
        <v>64</v>
      </c>
      <c r="AM918" s="271">
        <v>57</v>
      </c>
      <c r="AN918" s="271">
        <v>57</v>
      </c>
      <c r="AO918" s="298">
        <v>60</v>
      </c>
      <c r="AP918" s="298">
        <v>61</v>
      </c>
      <c r="AQ918" s="298">
        <v>66</v>
      </c>
      <c r="AR918" s="298">
        <v>66</v>
      </c>
      <c r="AS918" s="298">
        <v>55</v>
      </c>
      <c r="AT918" s="298">
        <v>50</v>
      </c>
      <c r="AU918" s="298">
        <v>51</v>
      </c>
      <c r="AV918" s="298">
        <f t="shared" si="63"/>
        <v>51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46</v>
      </c>
      <c r="AD919" s="298">
        <v>46</v>
      </c>
      <c r="AE919" s="271">
        <v>48</v>
      </c>
      <c r="AF919" s="271">
        <v>51</v>
      </c>
      <c r="AG919" s="271">
        <v>51</v>
      </c>
      <c r="AH919" s="271">
        <v>51</v>
      </c>
      <c r="AI919" s="271">
        <v>47</v>
      </c>
      <c r="AJ919" s="271">
        <v>43</v>
      </c>
      <c r="AK919" s="271">
        <v>42</v>
      </c>
      <c r="AL919" s="271">
        <v>45</v>
      </c>
      <c r="AM919" s="271">
        <v>53</v>
      </c>
      <c r="AN919" s="271">
        <v>53</v>
      </c>
      <c r="AO919" s="298">
        <v>49</v>
      </c>
      <c r="AP919" s="298">
        <v>42</v>
      </c>
      <c r="AQ919" s="298">
        <v>39</v>
      </c>
      <c r="AR919" s="298">
        <v>38</v>
      </c>
      <c r="AS919" s="298">
        <v>36</v>
      </c>
      <c r="AT919" s="298">
        <v>38</v>
      </c>
      <c r="AU919" s="298">
        <v>51</v>
      </c>
      <c r="AV919" s="298">
        <f t="shared" si="63"/>
        <v>51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41</v>
      </c>
      <c r="AD920" s="298">
        <v>41</v>
      </c>
      <c r="AE920" s="271">
        <v>40</v>
      </c>
      <c r="AF920" s="271">
        <v>37</v>
      </c>
      <c r="AG920" s="271">
        <v>36</v>
      </c>
      <c r="AH920" s="271">
        <v>29</v>
      </c>
      <c r="AI920" s="271">
        <v>26</v>
      </c>
      <c r="AJ920" s="271">
        <v>21</v>
      </c>
      <c r="AK920" s="271">
        <v>22</v>
      </c>
      <c r="AL920" s="271">
        <v>22</v>
      </c>
      <c r="AM920" s="271">
        <v>20</v>
      </c>
      <c r="AN920" s="271">
        <v>20</v>
      </c>
      <c r="AO920" s="298">
        <v>16</v>
      </c>
      <c r="AP920" s="298">
        <v>21</v>
      </c>
      <c r="AQ920" s="298">
        <v>28</v>
      </c>
      <c r="AR920" s="298">
        <v>27</v>
      </c>
      <c r="AS920" s="298">
        <v>23</v>
      </c>
      <c r="AT920" s="298">
        <v>24</v>
      </c>
      <c r="AU920" s="298">
        <v>32</v>
      </c>
      <c r="AV920" s="298">
        <f t="shared" si="63"/>
        <v>32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28</v>
      </c>
      <c r="AD921" s="298">
        <v>28</v>
      </c>
      <c r="AE921" s="271">
        <v>35</v>
      </c>
      <c r="AF921" s="271">
        <v>34</v>
      </c>
      <c r="AG921" s="271">
        <v>34</v>
      </c>
      <c r="AH921" s="271">
        <v>35</v>
      </c>
      <c r="AI921" s="271">
        <v>33</v>
      </c>
      <c r="AJ921" s="271">
        <v>41</v>
      </c>
      <c r="AK921" s="271">
        <v>41</v>
      </c>
      <c r="AL921" s="271">
        <v>41</v>
      </c>
      <c r="AM921" s="271">
        <v>37</v>
      </c>
      <c r="AN921" s="271">
        <v>37</v>
      </c>
      <c r="AO921" s="298">
        <v>38</v>
      </c>
      <c r="AP921" s="298">
        <v>50</v>
      </c>
      <c r="AQ921" s="298">
        <v>67</v>
      </c>
      <c r="AR921" s="298">
        <v>71</v>
      </c>
      <c r="AS921" s="298">
        <v>75</v>
      </c>
      <c r="AT921" s="298">
        <v>72</v>
      </c>
      <c r="AU921" s="298">
        <v>70</v>
      </c>
      <c r="AV921" s="298">
        <f t="shared" si="63"/>
        <v>70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89.8</v>
      </c>
      <c r="L922" s="271">
        <v>83.6738</v>
      </c>
      <c r="M922" s="271">
        <v>83.6738</v>
      </c>
      <c r="N922" s="271">
        <v>81.61</v>
      </c>
      <c r="O922" s="271">
        <v>80.56</v>
      </c>
      <c r="P922" s="271">
        <v>79.958699999999993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79.88</v>
      </c>
      <c r="Y922" s="271">
        <v>75.371399999999994</v>
      </c>
      <c r="Z922" s="273">
        <f ca="1">[1]ExtEntry!$O29</f>
        <v>75.371399999999994</v>
      </c>
      <c r="AB922" s="298">
        <v>43</v>
      </c>
      <c r="AC922" s="298">
        <v>45</v>
      </c>
      <c r="AD922" s="298">
        <v>45</v>
      </c>
      <c r="AE922" s="271">
        <v>42</v>
      </c>
      <c r="AF922" s="271">
        <v>43</v>
      </c>
      <c r="AG922" s="271">
        <v>41</v>
      </c>
      <c r="AH922" s="271">
        <v>37</v>
      </c>
      <c r="AI922" s="271">
        <v>29</v>
      </c>
      <c r="AJ922" s="271">
        <v>22</v>
      </c>
      <c r="AK922" s="271">
        <v>22</v>
      </c>
      <c r="AL922" s="271">
        <v>21</v>
      </c>
      <c r="AM922" s="271">
        <v>20</v>
      </c>
      <c r="AN922" s="271">
        <v>20</v>
      </c>
      <c r="AO922" s="298">
        <v>21</v>
      </c>
      <c r="AP922" s="298">
        <v>32</v>
      </c>
      <c r="AQ922" s="298">
        <v>37</v>
      </c>
      <c r="AR922" s="298">
        <v>31</v>
      </c>
      <c r="AS922" s="298">
        <v>31</v>
      </c>
      <c r="AT922" s="298">
        <v>37</v>
      </c>
      <c r="AU922" s="298">
        <v>25</v>
      </c>
      <c r="AV922" s="298">
        <f t="shared" si="63"/>
        <v>25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63</v>
      </c>
      <c r="AD923" s="298">
        <v>63</v>
      </c>
      <c r="AE923" s="271">
        <v>51</v>
      </c>
      <c r="AF923" s="271">
        <v>48</v>
      </c>
      <c r="AG923" s="271">
        <v>46</v>
      </c>
      <c r="AH923" s="271">
        <v>44</v>
      </c>
      <c r="AI923" s="271">
        <v>43</v>
      </c>
      <c r="AJ923" s="271">
        <v>45</v>
      </c>
      <c r="AK923" s="271">
        <v>43</v>
      </c>
      <c r="AL923" s="271">
        <v>41</v>
      </c>
      <c r="AM923" s="271">
        <v>39</v>
      </c>
      <c r="AN923" s="271">
        <v>39</v>
      </c>
      <c r="AO923" s="298">
        <v>39</v>
      </c>
      <c r="AP923" s="298">
        <v>31</v>
      </c>
      <c r="AQ923" s="298">
        <v>37</v>
      </c>
      <c r="AR923" s="298">
        <v>32</v>
      </c>
      <c r="AS923" s="298">
        <v>38</v>
      </c>
      <c r="AT923" s="298">
        <v>31</v>
      </c>
      <c r="AU923" s="298">
        <v>43</v>
      </c>
      <c r="AV923" s="298">
        <f t="shared" si="63"/>
        <v>43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23</v>
      </c>
      <c r="AD924" s="298">
        <v>23</v>
      </c>
      <c r="AE924" s="271">
        <v>24</v>
      </c>
      <c r="AF924" s="271">
        <v>23</v>
      </c>
      <c r="AG924" s="271">
        <v>19</v>
      </c>
      <c r="AH924" s="271">
        <v>17</v>
      </c>
      <c r="AI924" s="271">
        <v>22</v>
      </c>
      <c r="AJ924" s="271">
        <v>29</v>
      </c>
      <c r="AK924" s="271">
        <v>30</v>
      </c>
      <c r="AL924" s="271">
        <v>31</v>
      </c>
      <c r="AM924" s="271">
        <v>32</v>
      </c>
      <c r="AN924" s="271">
        <v>32</v>
      </c>
      <c r="AO924" s="298">
        <v>32</v>
      </c>
      <c r="AP924" s="298">
        <v>28</v>
      </c>
      <c r="AQ924" s="298">
        <v>27</v>
      </c>
      <c r="AR924" s="298">
        <v>27</v>
      </c>
      <c r="AS924" s="298">
        <v>29</v>
      </c>
      <c r="AT924" s="298">
        <v>32</v>
      </c>
      <c r="AU924" s="298">
        <v>35</v>
      </c>
      <c r="AV924" s="298">
        <f t="shared" si="63"/>
        <v>35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71.75</v>
      </c>
      <c r="M925" s="271">
        <v>72.790000000000006</v>
      </c>
      <c r="N925" s="271">
        <v>72.790000000000006</v>
      </c>
      <c r="O925" s="271">
        <v>73.11</v>
      </c>
      <c r="P925" s="271">
        <v>74.52</v>
      </c>
      <c r="Q925" s="271">
        <v>76.045000000000002</v>
      </c>
      <c r="R925" s="271">
        <v>76.52</v>
      </c>
      <c r="S925" s="271">
        <v>76.52</v>
      </c>
      <c r="T925" s="271">
        <v>76.52</v>
      </c>
      <c r="U925" s="271">
        <v>77.3</v>
      </c>
      <c r="V925" s="271">
        <v>77.3</v>
      </c>
      <c r="W925" s="271">
        <v>78.78</v>
      </c>
      <c r="X925" s="271">
        <v>79.77</v>
      </c>
      <c r="Y925" s="271">
        <v>80.069999999999993</v>
      </c>
      <c r="Z925" s="273">
        <f ca="1">[1]ExtEntry!$O32</f>
        <v>80.069999999999993</v>
      </c>
      <c r="AB925" s="298">
        <v>60</v>
      </c>
      <c r="AC925" s="298">
        <v>66</v>
      </c>
      <c r="AD925" s="298">
        <v>66</v>
      </c>
      <c r="AE925" s="271">
        <v>64</v>
      </c>
      <c r="AF925" s="271">
        <v>59</v>
      </c>
      <c r="AG925" s="271">
        <v>58</v>
      </c>
      <c r="AH925" s="271">
        <v>55</v>
      </c>
      <c r="AI925" s="271">
        <v>58</v>
      </c>
      <c r="AJ925" s="271">
        <v>59</v>
      </c>
      <c r="AK925" s="271">
        <v>59</v>
      </c>
      <c r="AL925" s="271">
        <v>53</v>
      </c>
      <c r="AM925" s="271">
        <v>64</v>
      </c>
      <c r="AN925" s="271">
        <v>64</v>
      </c>
      <c r="AO925" s="298">
        <v>71</v>
      </c>
      <c r="AP925" s="298">
        <v>68</v>
      </c>
      <c r="AQ925" s="298">
        <v>66</v>
      </c>
      <c r="AR925" s="298">
        <v>64</v>
      </c>
      <c r="AS925" s="298">
        <v>66</v>
      </c>
      <c r="AT925" s="298">
        <v>68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51</v>
      </c>
      <c r="AD926" s="298">
        <v>51</v>
      </c>
      <c r="AE926" s="271">
        <v>40</v>
      </c>
      <c r="AF926" s="271">
        <v>44</v>
      </c>
      <c r="AG926" s="271">
        <v>41</v>
      </c>
      <c r="AH926" s="271">
        <v>39</v>
      </c>
      <c r="AI926" s="271">
        <v>43</v>
      </c>
      <c r="AJ926" s="271">
        <v>45</v>
      </c>
      <c r="AK926" s="271">
        <v>45</v>
      </c>
      <c r="AL926" s="271">
        <v>41</v>
      </c>
      <c r="AM926" s="271">
        <v>41</v>
      </c>
      <c r="AN926" s="271">
        <v>41</v>
      </c>
      <c r="AO926" s="298">
        <v>36</v>
      </c>
      <c r="AP926" s="298">
        <v>51</v>
      </c>
      <c r="AQ926" s="298">
        <v>51</v>
      </c>
      <c r="AR926" s="298">
        <v>52</v>
      </c>
      <c r="AS926" s="298">
        <v>54</v>
      </c>
      <c r="AT926" s="298">
        <v>45</v>
      </c>
      <c r="AU926" s="298">
        <v>43</v>
      </c>
      <c r="AV926" s="298">
        <f t="shared" si="63"/>
        <v>43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24.36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67</v>
      </c>
      <c r="AD927" s="298">
        <v>67</v>
      </c>
      <c r="AE927" s="271">
        <v>57</v>
      </c>
      <c r="AF927" s="271">
        <v>53</v>
      </c>
      <c r="AG927" s="271">
        <v>38</v>
      </c>
      <c r="AH927" s="271">
        <v>24</v>
      </c>
      <c r="AI927" s="271">
        <v>26</v>
      </c>
      <c r="AJ927" s="271">
        <v>32</v>
      </c>
      <c r="AK927" s="271">
        <v>37</v>
      </c>
      <c r="AL927" s="271">
        <v>30</v>
      </c>
      <c r="AM927" s="271">
        <v>11</v>
      </c>
      <c r="AN927" s="271">
        <v>11</v>
      </c>
      <c r="AO927" s="298">
        <v>14</v>
      </c>
      <c r="AP927" s="298">
        <v>5</v>
      </c>
      <c r="AQ927" s="298">
        <v>21</v>
      </c>
      <c r="AR927" s="298">
        <v>29</v>
      </c>
      <c r="AS927" s="298">
        <v>39</v>
      </c>
      <c r="AT927" s="298">
        <v>39</v>
      </c>
      <c r="AU927" s="298">
        <v>33</v>
      </c>
      <c r="AV927" s="298">
        <f t="shared" si="63"/>
        <v>33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32.5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32.82</v>
      </c>
      <c r="M928" s="271">
        <v>33.204999999999998</v>
      </c>
      <c r="N928" s="271">
        <v>33.204999999999998</v>
      </c>
      <c r="O928" s="271">
        <v>33.204999999999998</v>
      </c>
      <c r="P928" s="271">
        <v>33.99</v>
      </c>
      <c r="Q928" s="271">
        <v>35</v>
      </c>
      <c r="R928" s="271">
        <v>35</v>
      </c>
      <c r="S928" s="271">
        <v>35</v>
      </c>
      <c r="T928" s="271">
        <v>35</v>
      </c>
      <c r="U928" s="271">
        <v>36.14</v>
      </c>
      <c r="V928" s="271">
        <v>36.31</v>
      </c>
      <c r="W928" s="271">
        <v>36.49</v>
      </c>
      <c r="X928" s="271">
        <v>36.869999999999997</v>
      </c>
      <c r="Y928" s="271">
        <v>37.56</v>
      </c>
      <c r="Z928" s="273">
        <f ca="1">[1]ExtEntry!$O35</f>
        <v>37.56</v>
      </c>
      <c r="AB928" s="298">
        <v>41</v>
      </c>
      <c r="AC928" s="298">
        <v>44</v>
      </c>
      <c r="AD928" s="298">
        <v>44</v>
      </c>
      <c r="AE928" s="271">
        <v>43</v>
      </c>
      <c r="AF928" s="271">
        <v>41</v>
      </c>
      <c r="AG928" s="271">
        <v>37</v>
      </c>
      <c r="AH928" s="271">
        <v>28</v>
      </c>
      <c r="AI928" s="271">
        <v>34</v>
      </c>
      <c r="AJ928" s="271">
        <v>36</v>
      </c>
      <c r="AK928" s="271">
        <v>35</v>
      </c>
      <c r="AL928" s="271">
        <v>42</v>
      </c>
      <c r="AM928" s="271">
        <v>48</v>
      </c>
      <c r="AN928" s="271">
        <v>48</v>
      </c>
      <c r="AO928" s="298">
        <v>54</v>
      </c>
      <c r="AP928" s="298">
        <v>52</v>
      </c>
      <c r="AQ928" s="298">
        <v>57</v>
      </c>
      <c r="AR928" s="298">
        <v>54</v>
      </c>
      <c r="AS928" s="298">
        <v>53</v>
      </c>
      <c r="AT928" s="298">
        <v>53</v>
      </c>
      <c r="AU928" s="298">
        <v>56</v>
      </c>
      <c r="AV928" s="298">
        <f t="shared" ref="AV928:AV959" si="66">INT(100-100/(1+SUMIF(F631:Y631,"&gt;0",F631:Y631)/ABS(SUMIF(F631:Y631,"&lt;0",F631:Y631))))</f>
        <v>56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9.3800000000000008</v>
      </c>
      <c r="M929" s="271">
        <v>9.3800000000000008</v>
      </c>
      <c r="N929" s="271">
        <v>9.35</v>
      </c>
      <c r="O929" s="271">
        <v>9.35</v>
      </c>
      <c r="P929" s="271">
        <v>9.35</v>
      </c>
      <c r="Q929" s="271">
        <v>9.17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18</v>
      </c>
      <c r="AD929" s="298">
        <v>18</v>
      </c>
      <c r="AE929" s="271">
        <v>22</v>
      </c>
      <c r="AF929" s="271">
        <v>20</v>
      </c>
      <c r="AG929" s="271">
        <v>21</v>
      </c>
      <c r="AH929" s="271">
        <v>21</v>
      </c>
      <c r="AI929" s="271">
        <v>20</v>
      </c>
      <c r="AJ929" s="271">
        <v>21</v>
      </c>
      <c r="AK929" s="271">
        <v>19</v>
      </c>
      <c r="AL929" s="271">
        <v>20</v>
      </c>
      <c r="AM929" s="271">
        <v>20</v>
      </c>
      <c r="AN929" s="271">
        <v>20</v>
      </c>
      <c r="AO929" s="298">
        <v>17</v>
      </c>
      <c r="AP929" s="298">
        <v>18</v>
      </c>
      <c r="AQ929" s="298">
        <v>19</v>
      </c>
      <c r="AR929" s="298">
        <v>18</v>
      </c>
      <c r="AS929" s="298">
        <v>17</v>
      </c>
      <c r="AT929" s="298">
        <v>21</v>
      </c>
      <c r="AU929" s="298">
        <v>23</v>
      </c>
      <c r="AV929" s="298">
        <f t="shared" si="66"/>
        <v>23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33</v>
      </c>
      <c r="AD930" s="298">
        <v>33</v>
      </c>
      <c r="AE930" s="271">
        <v>36</v>
      </c>
      <c r="AF930" s="271">
        <v>36</v>
      </c>
      <c r="AG930" s="271">
        <v>33</v>
      </c>
      <c r="AH930" s="271">
        <v>28</v>
      </c>
      <c r="AI930" s="271">
        <v>21</v>
      </c>
      <c r="AJ930" s="271">
        <v>11</v>
      </c>
      <c r="AK930" s="271">
        <v>16</v>
      </c>
      <c r="AL930" s="271">
        <v>14</v>
      </c>
      <c r="AM930" s="271">
        <v>15</v>
      </c>
      <c r="AN930" s="271">
        <v>15</v>
      </c>
      <c r="AO930" s="298">
        <v>13</v>
      </c>
      <c r="AP930" s="298">
        <v>18</v>
      </c>
      <c r="AQ930" s="298">
        <v>21</v>
      </c>
      <c r="AR930" s="298">
        <v>17</v>
      </c>
      <c r="AS930" s="298">
        <v>27</v>
      </c>
      <c r="AT930" s="298">
        <v>29</v>
      </c>
      <c r="AU930" s="298">
        <v>26</v>
      </c>
      <c r="AV930" s="298">
        <f t="shared" si="66"/>
        <v>26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74</v>
      </c>
      <c r="AD931" s="298">
        <v>74</v>
      </c>
      <c r="AE931" s="271">
        <v>74</v>
      </c>
      <c r="AF931" s="271">
        <v>75</v>
      </c>
      <c r="AG931" s="271">
        <v>81</v>
      </c>
      <c r="AH931" s="271">
        <v>76</v>
      </c>
      <c r="AI931" s="271">
        <v>76</v>
      </c>
      <c r="AJ931" s="271">
        <v>80</v>
      </c>
      <c r="AK931" s="271">
        <v>83</v>
      </c>
      <c r="AL931" s="271">
        <v>82</v>
      </c>
      <c r="AM931" s="271">
        <v>77</v>
      </c>
      <c r="AN931" s="271">
        <v>77</v>
      </c>
      <c r="AO931" s="298">
        <v>71</v>
      </c>
      <c r="AP931" s="298">
        <v>62</v>
      </c>
      <c r="AQ931" s="298">
        <v>61</v>
      </c>
      <c r="AR931" s="298">
        <v>61</v>
      </c>
      <c r="AS931" s="298">
        <v>58</v>
      </c>
      <c r="AT931" s="298">
        <v>55</v>
      </c>
      <c r="AU931" s="298">
        <v>53</v>
      </c>
      <c r="AV931" s="298">
        <f t="shared" si="66"/>
        <v>53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38.35</v>
      </c>
      <c r="G932" s="271">
        <v>38.945</v>
      </c>
      <c r="H932" s="271">
        <v>41.25</v>
      </c>
      <c r="I932" s="271">
        <v>41.25</v>
      </c>
      <c r="J932" s="271">
        <v>41.25</v>
      </c>
      <c r="K932" s="271">
        <v>41.86</v>
      </c>
      <c r="L932" s="271">
        <v>43.7181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86</v>
      </c>
      <c r="AD932" s="298">
        <v>86</v>
      </c>
      <c r="AE932" s="271">
        <v>88</v>
      </c>
      <c r="AF932" s="271">
        <v>84</v>
      </c>
      <c r="AG932" s="271">
        <v>86</v>
      </c>
      <c r="AH932" s="271">
        <v>82</v>
      </c>
      <c r="AI932" s="271">
        <v>82</v>
      </c>
      <c r="AJ932" s="271">
        <v>73</v>
      </c>
      <c r="AK932" s="271">
        <v>76</v>
      </c>
      <c r="AL932" s="271">
        <v>75</v>
      </c>
      <c r="AM932" s="271">
        <v>76</v>
      </c>
      <c r="AN932" s="271">
        <v>76</v>
      </c>
      <c r="AO932" s="298">
        <v>75</v>
      </c>
      <c r="AP932" s="298">
        <v>76</v>
      </c>
      <c r="AQ932" s="298">
        <v>74</v>
      </c>
      <c r="AR932" s="298">
        <v>58</v>
      </c>
      <c r="AS932" s="298">
        <v>56</v>
      </c>
      <c r="AT932" s="298">
        <v>57</v>
      </c>
      <c r="AU932" s="298">
        <v>52</v>
      </c>
      <c r="AV932" s="298">
        <f t="shared" si="66"/>
        <v>52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38</v>
      </c>
      <c r="AD933" s="298">
        <v>38</v>
      </c>
      <c r="AE933" s="271">
        <v>44</v>
      </c>
      <c r="AF933" s="271">
        <v>42</v>
      </c>
      <c r="AG933" s="271">
        <v>36</v>
      </c>
      <c r="AH933" s="271">
        <v>29</v>
      </c>
      <c r="AI933" s="271">
        <v>32</v>
      </c>
      <c r="AJ933" s="271">
        <v>33</v>
      </c>
      <c r="AK933" s="271">
        <v>35</v>
      </c>
      <c r="AL933" s="271">
        <v>39</v>
      </c>
      <c r="AM933" s="271">
        <v>38</v>
      </c>
      <c r="AN933" s="271">
        <v>38</v>
      </c>
      <c r="AO933" s="298">
        <v>38</v>
      </c>
      <c r="AP933" s="298">
        <v>52</v>
      </c>
      <c r="AQ933" s="298">
        <v>59</v>
      </c>
      <c r="AR933" s="298">
        <v>56</v>
      </c>
      <c r="AS933" s="298">
        <v>55</v>
      </c>
      <c r="AT933" s="298">
        <v>54</v>
      </c>
      <c r="AU933" s="298">
        <v>56</v>
      </c>
      <c r="AV933" s="298">
        <f t="shared" si="66"/>
        <v>56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35</v>
      </c>
      <c r="AD934" s="298">
        <v>35</v>
      </c>
      <c r="AE934" s="271">
        <v>24</v>
      </c>
      <c r="AF934" s="271">
        <v>25</v>
      </c>
      <c r="AG934" s="271">
        <v>24</v>
      </c>
      <c r="AH934" s="271">
        <v>25</v>
      </c>
      <c r="AI934" s="271">
        <v>29</v>
      </c>
      <c r="AJ934" s="271">
        <v>32</v>
      </c>
      <c r="AK934" s="271">
        <v>33</v>
      </c>
      <c r="AL934" s="271">
        <v>36</v>
      </c>
      <c r="AM934" s="271">
        <v>33</v>
      </c>
      <c r="AN934" s="271">
        <v>33</v>
      </c>
      <c r="AO934" s="298">
        <v>32</v>
      </c>
      <c r="AP934" s="298">
        <v>39</v>
      </c>
      <c r="AQ934" s="298">
        <v>46</v>
      </c>
      <c r="AR934" s="298">
        <v>45</v>
      </c>
      <c r="AS934" s="298">
        <v>38</v>
      </c>
      <c r="AT934" s="298">
        <v>49</v>
      </c>
      <c r="AU934" s="298">
        <v>42</v>
      </c>
      <c r="AV934" s="298">
        <f t="shared" si="66"/>
        <v>42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23.16</v>
      </c>
      <c r="Q935" s="271">
        <v>22.67</v>
      </c>
      <c r="R935" s="271">
        <v>22.67</v>
      </c>
      <c r="S935" s="271">
        <v>21.74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52</v>
      </c>
      <c r="AD935" s="298">
        <v>52</v>
      </c>
      <c r="AE935" s="271">
        <v>48</v>
      </c>
      <c r="AF935" s="271">
        <v>48</v>
      </c>
      <c r="AG935" s="271">
        <v>46</v>
      </c>
      <c r="AH935" s="271">
        <v>44</v>
      </c>
      <c r="AI935" s="271">
        <v>35</v>
      </c>
      <c r="AJ935" s="271">
        <v>20</v>
      </c>
      <c r="AK935" s="271">
        <v>30</v>
      </c>
      <c r="AL935" s="271">
        <v>33</v>
      </c>
      <c r="AM935" s="271">
        <v>36</v>
      </c>
      <c r="AN935" s="271">
        <v>36</v>
      </c>
      <c r="AO935" s="298">
        <v>36</v>
      </c>
      <c r="AP935" s="298">
        <v>38</v>
      </c>
      <c r="AQ935" s="298">
        <v>45</v>
      </c>
      <c r="AR935" s="298">
        <v>42</v>
      </c>
      <c r="AS935" s="298">
        <v>44</v>
      </c>
      <c r="AT935" s="298">
        <v>46</v>
      </c>
      <c r="AU935" s="298">
        <v>41</v>
      </c>
      <c r="AV935" s="298">
        <f t="shared" si="66"/>
        <v>41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27</v>
      </c>
      <c r="AD936" s="298">
        <v>27</v>
      </c>
      <c r="AE936" s="271">
        <v>39</v>
      </c>
      <c r="AF936" s="271">
        <v>49</v>
      </c>
      <c r="AG936" s="271">
        <v>46</v>
      </c>
      <c r="AH936" s="271">
        <v>45</v>
      </c>
      <c r="AI936" s="271">
        <v>44</v>
      </c>
      <c r="AJ936" s="271">
        <v>47</v>
      </c>
      <c r="AK936" s="271">
        <v>51</v>
      </c>
      <c r="AL936" s="271">
        <v>49</v>
      </c>
      <c r="AM936" s="271">
        <v>45</v>
      </c>
      <c r="AN936" s="271">
        <v>45</v>
      </c>
      <c r="AO936" s="298">
        <v>44</v>
      </c>
      <c r="AP936" s="298">
        <v>45</v>
      </c>
      <c r="AQ936" s="298">
        <v>47</v>
      </c>
      <c r="AR936" s="298">
        <v>45</v>
      </c>
      <c r="AS936" s="298">
        <v>42</v>
      </c>
      <c r="AT936" s="298">
        <v>39</v>
      </c>
      <c r="AU936" s="298">
        <v>48</v>
      </c>
      <c r="AV936" s="298">
        <f t="shared" si="66"/>
        <v>48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33</v>
      </c>
      <c r="AD937" s="298">
        <v>33</v>
      </c>
      <c r="AE937" s="271">
        <v>34</v>
      </c>
      <c r="AF937" s="271">
        <v>27</v>
      </c>
      <c r="AG937" s="271">
        <v>26</v>
      </c>
      <c r="AH937" s="271">
        <v>31</v>
      </c>
      <c r="AI937" s="271">
        <v>33</v>
      </c>
      <c r="AJ937" s="271">
        <v>32</v>
      </c>
      <c r="AK937" s="271">
        <v>40</v>
      </c>
      <c r="AL937" s="271">
        <v>29</v>
      </c>
      <c r="AM937" s="271">
        <v>20</v>
      </c>
      <c r="AN937" s="271">
        <v>20</v>
      </c>
      <c r="AO937" s="298">
        <v>23</v>
      </c>
      <c r="AP937" s="298">
        <v>35</v>
      </c>
      <c r="AQ937" s="298">
        <v>35</v>
      </c>
      <c r="AR937" s="298">
        <v>33</v>
      </c>
      <c r="AS937" s="298">
        <v>34</v>
      </c>
      <c r="AT937" s="298">
        <v>46</v>
      </c>
      <c r="AU937" s="298">
        <v>57</v>
      </c>
      <c r="AV937" s="298">
        <f t="shared" si="66"/>
        <v>57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254.72989999999999</v>
      </c>
      <c r="W938" s="271">
        <v>264.58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51</v>
      </c>
      <c r="AD938" s="298">
        <v>51</v>
      </c>
      <c r="AE938" s="271">
        <v>34</v>
      </c>
      <c r="AF938" s="271">
        <v>34</v>
      </c>
      <c r="AG938" s="271">
        <v>32</v>
      </c>
      <c r="AH938" s="271">
        <v>35</v>
      </c>
      <c r="AI938" s="271">
        <v>33</v>
      </c>
      <c r="AJ938" s="271">
        <v>28</v>
      </c>
      <c r="AK938" s="271">
        <v>26</v>
      </c>
      <c r="AL938" s="271">
        <v>19</v>
      </c>
      <c r="AM938" s="271">
        <v>19</v>
      </c>
      <c r="AN938" s="271">
        <v>19</v>
      </c>
      <c r="AO938" s="298">
        <v>19</v>
      </c>
      <c r="AP938" s="298">
        <v>29</v>
      </c>
      <c r="AQ938" s="298">
        <v>35</v>
      </c>
      <c r="AR938" s="298">
        <v>37</v>
      </c>
      <c r="AS938" s="298">
        <v>48</v>
      </c>
      <c r="AT938" s="298">
        <v>46</v>
      </c>
      <c r="AU938" s="298">
        <v>48</v>
      </c>
      <c r="AV938" s="298">
        <f t="shared" si="66"/>
        <v>48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59</v>
      </c>
      <c r="AD939" s="298">
        <v>59</v>
      </c>
      <c r="AE939" s="271">
        <v>51</v>
      </c>
      <c r="AF939" s="271">
        <v>51</v>
      </c>
      <c r="AG939" s="271">
        <v>51</v>
      </c>
      <c r="AH939" s="271">
        <v>56</v>
      </c>
      <c r="AI939" s="271">
        <v>51</v>
      </c>
      <c r="AJ939" s="271">
        <v>49</v>
      </c>
      <c r="AK939" s="271">
        <v>51</v>
      </c>
      <c r="AL939" s="271">
        <v>49</v>
      </c>
      <c r="AM939" s="271">
        <v>45</v>
      </c>
      <c r="AN939" s="271">
        <v>45</v>
      </c>
      <c r="AO939" s="298">
        <v>51</v>
      </c>
      <c r="AP939" s="298">
        <v>53</v>
      </c>
      <c r="AQ939" s="298">
        <v>50</v>
      </c>
      <c r="AR939" s="298">
        <v>53</v>
      </c>
      <c r="AS939" s="298">
        <v>57</v>
      </c>
      <c r="AT939" s="298">
        <v>41</v>
      </c>
      <c r="AU939" s="298">
        <v>48</v>
      </c>
      <c r="AV939" s="298">
        <f t="shared" si="66"/>
        <v>48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41</v>
      </c>
      <c r="AD940" s="298">
        <v>41</v>
      </c>
      <c r="AE940" s="271">
        <v>34</v>
      </c>
      <c r="AF940" s="271">
        <v>33</v>
      </c>
      <c r="AG940" s="271">
        <v>27</v>
      </c>
      <c r="AH940" s="271">
        <v>18</v>
      </c>
      <c r="AI940" s="271">
        <v>17</v>
      </c>
      <c r="AJ940" s="271">
        <v>15</v>
      </c>
      <c r="AK940" s="271">
        <v>16</v>
      </c>
      <c r="AL940" s="271">
        <v>15</v>
      </c>
      <c r="AM940" s="271">
        <v>14</v>
      </c>
      <c r="AN940" s="271">
        <v>14</v>
      </c>
      <c r="AO940" s="298">
        <v>17</v>
      </c>
      <c r="AP940" s="298">
        <v>27</v>
      </c>
      <c r="AQ940" s="298">
        <v>41</v>
      </c>
      <c r="AR940" s="298">
        <v>45</v>
      </c>
      <c r="AS940" s="298">
        <v>52</v>
      </c>
      <c r="AT940" s="298">
        <v>54</v>
      </c>
      <c r="AU940" s="298">
        <v>51</v>
      </c>
      <c r="AV940" s="298">
        <f t="shared" si="66"/>
        <v>51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356.34</v>
      </c>
      <c r="V941" s="271">
        <v>356.34</v>
      </c>
      <c r="W941" s="271">
        <v>372.97</v>
      </c>
      <c r="X941" s="271">
        <v>374.23</v>
      </c>
      <c r="Y941" s="271">
        <v>374.23</v>
      </c>
      <c r="Z941" s="273">
        <f ca="1">[1]ExtEntry!$O48</f>
        <v>374.23</v>
      </c>
      <c r="AB941" s="298">
        <v>62</v>
      </c>
      <c r="AC941" s="298">
        <v>59</v>
      </c>
      <c r="AD941" s="298">
        <v>59</v>
      </c>
      <c r="AE941" s="271">
        <v>46</v>
      </c>
      <c r="AF941" s="271">
        <v>43</v>
      </c>
      <c r="AG941" s="271">
        <v>39</v>
      </c>
      <c r="AH941" s="271">
        <v>37</v>
      </c>
      <c r="AI941" s="271">
        <v>36</v>
      </c>
      <c r="AJ941" s="271">
        <v>34</v>
      </c>
      <c r="AK941" s="271">
        <v>36</v>
      </c>
      <c r="AL941" s="271">
        <v>32</v>
      </c>
      <c r="AM941" s="271">
        <v>29</v>
      </c>
      <c r="AN941" s="271">
        <v>29</v>
      </c>
      <c r="AO941" s="298">
        <v>26</v>
      </c>
      <c r="AP941" s="298">
        <v>35</v>
      </c>
      <c r="AQ941" s="298">
        <v>43</v>
      </c>
      <c r="AR941" s="298">
        <v>38</v>
      </c>
      <c r="AS941" s="298">
        <v>53</v>
      </c>
      <c r="AT941" s="298">
        <v>47</v>
      </c>
      <c r="AU941" s="298">
        <v>49</v>
      </c>
      <c r="AV941" s="298">
        <f t="shared" si="66"/>
        <v>49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58</v>
      </c>
      <c r="AD942" s="298">
        <v>58</v>
      </c>
      <c r="AE942" s="271">
        <v>66</v>
      </c>
      <c r="AF942" s="271">
        <v>69</v>
      </c>
      <c r="AG942" s="271">
        <v>66</v>
      </c>
      <c r="AH942" s="271">
        <v>60</v>
      </c>
      <c r="AI942" s="271">
        <v>50</v>
      </c>
      <c r="AJ942" s="271">
        <v>32</v>
      </c>
      <c r="AK942" s="271">
        <v>36</v>
      </c>
      <c r="AL942" s="271">
        <v>34</v>
      </c>
      <c r="AM942" s="271">
        <v>31</v>
      </c>
      <c r="AN942" s="271">
        <v>31</v>
      </c>
      <c r="AO942" s="298">
        <v>33</v>
      </c>
      <c r="AP942" s="298">
        <v>35</v>
      </c>
      <c r="AQ942" s="298">
        <v>35</v>
      </c>
      <c r="AR942" s="298">
        <v>38</v>
      </c>
      <c r="AS942" s="298">
        <v>36</v>
      </c>
      <c r="AT942" s="298">
        <v>34</v>
      </c>
      <c r="AU942" s="298">
        <v>33</v>
      </c>
      <c r="AV942" s="298">
        <f t="shared" si="66"/>
        <v>33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11</v>
      </c>
      <c r="AF943" s="271">
        <v>12</v>
      </c>
      <c r="AG943" s="271">
        <v>13</v>
      </c>
      <c r="AH943" s="271">
        <v>13</v>
      </c>
      <c r="AI943" s="271">
        <v>11</v>
      </c>
      <c r="AJ943" s="271">
        <v>18</v>
      </c>
      <c r="AK943" s="271">
        <v>45</v>
      </c>
      <c r="AL943" s="271">
        <v>36</v>
      </c>
      <c r="AM943" s="271">
        <v>41</v>
      </c>
      <c r="AN943" s="271">
        <v>41</v>
      </c>
      <c r="AO943" s="298">
        <v>40</v>
      </c>
      <c r="AP943" s="298">
        <v>54</v>
      </c>
      <c r="AQ943" s="298">
        <v>57</v>
      </c>
      <c r="AR943" s="298">
        <v>61</v>
      </c>
      <c r="AS943" s="298">
        <v>64</v>
      </c>
      <c r="AT943" s="298">
        <v>60</v>
      </c>
      <c r="AU943" s="298">
        <v>61</v>
      </c>
      <c r="AV943" s="298">
        <f t="shared" si="66"/>
        <v>61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57</v>
      </c>
      <c r="AD944" s="298">
        <v>57</v>
      </c>
      <c r="AE944" s="271">
        <v>54</v>
      </c>
      <c r="AF944" s="271">
        <v>63</v>
      </c>
      <c r="AG944" s="271">
        <v>61</v>
      </c>
      <c r="AH944" s="271">
        <v>58</v>
      </c>
      <c r="AI944" s="271">
        <v>51</v>
      </c>
      <c r="AJ944" s="271">
        <v>49</v>
      </c>
      <c r="AK944" s="271">
        <v>45</v>
      </c>
      <c r="AL944" s="271">
        <v>47</v>
      </c>
      <c r="AM944" s="271">
        <v>49</v>
      </c>
      <c r="AN944" s="271">
        <v>49</v>
      </c>
      <c r="AO944" s="298">
        <v>54</v>
      </c>
      <c r="AP944" s="298">
        <v>53</v>
      </c>
      <c r="AQ944" s="298">
        <v>51</v>
      </c>
      <c r="AR944" s="298">
        <v>49</v>
      </c>
      <c r="AS944" s="298">
        <v>43</v>
      </c>
      <c r="AT944" s="298">
        <v>33</v>
      </c>
      <c r="AU944" s="298">
        <v>22</v>
      </c>
      <c r="AV944" s="298">
        <f t="shared" si="66"/>
        <v>22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81</v>
      </c>
      <c r="AD945" s="298">
        <v>81</v>
      </c>
      <c r="AE945" s="271">
        <v>88</v>
      </c>
      <c r="AF945" s="271">
        <v>90</v>
      </c>
      <c r="AG945" s="271">
        <v>94</v>
      </c>
      <c r="AH945" s="271">
        <v>79</v>
      </c>
      <c r="AI945" s="271">
        <v>75</v>
      </c>
      <c r="AJ945" s="271">
        <v>78</v>
      </c>
      <c r="AK945" s="271">
        <v>78</v>
      </c>
      <c r="AL945" s="271">
        <v>77</v>
      </c>
      <c r="AM945" s="271">
        <v>76</v>
      </c>
      <c r="AN945" s="271">
        <v>76</v>
      </c>
      <c r="AO945" s="298">
        <v>76</v>
      </c>
      <c r="AP945" s="298">
        <v>75</v>
      </c>
      <c r="AQ945" s="298">
        <v>75</v>
      </c>
      <c r="AR945" s="298">
        <v>74</v>
      </c>
      <c r="AS945" s="298">
        <v>73</v>
      </c>
      <c r="AT945" s="298">
        <v>72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40</v>
      </c>
      <c r="AD946" s="298">
        <v>40</v>
      </c>
      <c r="AE946" s="271">
        <v>45</v>
      </c>
      <c r="AF946" s="271">
        <v>54</v>
      </c>
      <c r="AG946" s="271">
        <v>55</v>
      </c>
      <c r="AH946" s="271">
        <v>56</v>
      </c>
      <c r="AI946" s="271">
        <v>51</v>
      </c>
      <c r="AJ946" s="271">
        <v>50</v>
      </c>
      <c r="AK946" s="271">
        <v>47</v>
      </c>
      <c r="AL946" s="271">
        <v>52</v>
      </c>
      <c r="AM946" s="271">
        <v>48</v>
      </c>
      <c r="AN946" s="271">
        <v>48</v>
      </c>
      <c r="AO946" s="298">
        <v>43</v>
      </c>
      <c r="AP946" s="298">
        <v>44</v>
      </c>
      <c r="AQ946" s="298">
        <v>53</v>
      </c>
      <c r="AR946" s="298">
        <v>56</v>
      </c>
      <c r="AS946" s="298">
        <v>62</v>
      </c>
      <c r="AT946" s="298">
        <v>60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24</v>
      </c>
      <c r="AD947" s="298">
        <v>24</v>
      </c>
      <c r="AE947" s="271">
        <v>27</v>
      </c>
      <c r="AF947" s="271">
        <v>29</v>
      </c>
      <c r="AG947" s="271">
        <v>25</v>
      </c>
      <c r="AH947" s="271">
        <v>27</v>
      </c>
      <c r="AI947" s="271">
        <v>21</v>
      </c>
      <c r="AJ947" s="271">
        <v>19</v>
      </c>
      <c r="AK947" s="271">
        <v>20</v>
      </c>
      <c r="AL947" s="271">
        <v>20</v>
      </c>
      <c r="AM947" s="271">
        <v>19</v>
      </c>
      <c r="AN947" s="271">
        <v>19</v>
      </c>
      <c r="AO947" s="298">
        <v>23</v>
      </c>
      <c r="AP947" s="298">
        <v>33</v>
      </c>
      <c r="AQ947" s="298">
        <v>37</v>
      </c>
      <c r="AR947" s="298">
        <v>35</v>
      </c>
      <c r="AS947" s="298">
        <v>34</v>
      </c>
      <c r="AT947" s="298">
        <v>35</v>
      </c>
      <c r="AU947" s="298">
        <v>32</v>
      </c>
      <c r="AV947" s="298">
        <f t="shared" si="66"/>
        <v>32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1.99</v>
      </c>
      <c r="R948" s="271">
        <v>1.99</v>
      </c>
      <c r="S948" s="271">
        <v>1.99</v>
      </c>
      <c r="T948" s="271">
        <v>1.99</v>
      </c>
      <c r="U948" s="271">
        <v>1.91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38</v>
      </c>
      <c r="AD948" s="298">
        <v>38</v>
      </c>
      <c r="AE948" s="271">
        <v>37</v>
      </c>
      <c r="AF948" s="271">
        <v>38</v>
      </c>
      <c r="AG948" s="271">
        <v>34</v>
      </c>
      <c r="AH948" s="271">
        <v>35</v>
      </c>
      <c r="AI948" s="271">
        <v>33</v>
      </c>
      <c r="AJ948" s="271">
        <v>38</v>
      </c>
      <c r="AK948" s="271">
        <v>34</v>
      </c>
      <c r="AL948" s="271">
        <v>27</v>
      </c>
      <c r="AM948" s="271">
        <v>22</v>
      </c>
      <c r="AN948" s="271">
        <v>22</v>
      </c>
      <c r="AO948" s="298">
        <v>32</v>
      </c>
      <c r="AP948" s="298">
        <v>35</v>
      </c>
      <c r="AQ948" s="298">
        <v>36</v>
      </c>
      <c r="AR948" s="298">
        <v>38</v>
      </c>
      <c r="AS948" s="298">
        <v>39</v>
      </c>
      <c r="AT948" s="298">
        <v>27</v>
      </c>
      <c r="AU948" s="298">
        <v>29</v>
      </c>
      <c r="AV948" s="298">
        <f t="shared" si="66"/>
        <v>29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60</v>
      </c>
      <c r="AD949" s="298">
        <v>60</v>
      </c>
      <c r="AE949" s="271">
        <v>50</v>
      </c>
      <c r="AF949" s="271">
        <v>46</v>
      </c>
      <c r="AG949" s="271">
        <v>44</v>
      </c>
      <c r="AH949" s="271">
        <v>44</v>
      </c>
      <c r="AI949" s="271">
        <v>44</v>
      </c>
      <c r="AJ949" s="271">
        <v>55</v>
      </c>
      <c r="AK949" s="271">
        <v>53</v>
      </c>
      <c r="AL949" s="271">
        <v>52</v>
      </c>
      <c r="AM949" s="271">
        <v>50</v>
      </c>
      <c r="AN949" s="271">
        <v>50</v>
      </c>
      <c r="AO949" s="298">
        <v>49</v>
      </c>
      <c r="AP949" s="298">
        <v>48</v>
      </c>
      <c r="AQ949" s="298">
        <v>50</v>
      </c>
      <c r="AR949" s="298">
        <v>48</v>
      </c>
      <c r="AS949" s="298">
        <v>46</v>
      </c>
      <c r="AT949" s="298">
        <v>35</v>
      </c>
      <c r="AU949" s="298">
        <v>36</v>
      </c>
      <c r="AV949" s="298">
        <f t="shared" si="66"/>
        <v>36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32</v>
      </c>
      <c r="AD950" s="298">
        <v>32</v>
      </c>
      <c r="AE950" s="271">
        <v>25</v>
      </c>
      <c r="AF950" s="271">
        <v>28</v>
      </c>
      <c r="AG950" s="271">
        <v>30</v>
      </c>
      <c r="AH950" s="271">
        <v>30</v>
      </c>
      <c r="AI950" s="271">
        <v>28</v>
      </c>
      <c r="AJ950" s="271">
        <v>24</v>
      </c>
      <c r="AK950" s="271">
        <v>35</v>
      </c>
      <c r="AL950" s="271">
        <v>31</v>
      </c>
      <c r="AM950" s="271">
        <v>30</v>
      </c>
      <c r="AN950" s="271">
        <v>30</v>
      </c>
      <c r="AO950" s="298">
        <v>34</v>
      </c>
      <c r="AP950" s="298">
        <v>43</v>
      </c>
      <c r="AQ950" s="298">
        <v>58</v>
      </c>
      <c r="AR950" s="298">
        <v>61</v>
      </c>
      <c r="AS950" s="298">
        <v>58</v>
      </c>
      <c r="AT950" s="298">
        <v>64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49</v>
      </c>
      <c r="AD951" s="298">
        <v>49</v>
      </c>
      <c r="AE951" s="271">
        <v>52</v>
      </c>
      <c r="AF951" s="271">
        <v>47</v>
      </c>
      <c r="AG951" s="271">
        <v>39</v>
      </c>
      <c r="AH951" s="271">
        <v>39</v>
      </c>
      <c r="AI951" s="271">
        <v>52</v>
      </c>
      <c r="AJ951" s="271">
        <v>57</v>
      </c>
      <c r="AK951" s="271">
        <v>55</v>
      </c>
      <c r="AL951" s="271">
        <v>53</v>
      </c>
      <c r="AM951" s="271">
        <v>46</v>
      </c>
      <c r="AN951" s="271">
        <v>46</v>
      </c>
      <c r="AO951" s="298">
        <v>41</v>
      </c>
      <c r="AP951" s="298">
        <v>43</v>
      </c>
      <c r="AQ951" s="298">
        <v>46</v>
      </c>
      <c r="AR951" s="298">
        <v>37</v>
      </c>
      <c r="AS951" s="298">
        <v>40</v>
      </c>
      <c r="AT951" s="298">
        <v>40</v>
      </c>
      <c r="AU951" s="298">
        <v>42</v>
      </c>
      <c r="AV951" s="298">
        <f t="shared" si="66"/>
        <v>42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15.084</v>
      </c>
      <c r="I952" s="271">
        <v>15.08</v>
      </c>
      <c r="J952" s="271">
        <v>15.08</v>
      </c>
      <c r="K952" s="271">
        <v>15.112</v>
      </c>
      <c r="L952" s="271">
        <v>15.34</v>
      </c>
      <c r="M952" s="271">
        <v>15.34</v>
      </c>
      <c r="N952" s="271">
        <v>15.34</v>
      </c>
      <c r="O952" s="271">
        <v>15.34</v>
      </c>
      <c r="P952" s="271">
        <v>15.39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71</v>
      </c>
      <c r="AF952" s="271">
        <v>70</v>
      </c>
      <c r="AG952" s="271">
        <v>71</v>
      </c>
      <c r="AH952" s="271">
        <v>73</v>
      </c>
      <c r="AI952" s="271">
        <v>68</v>
      </c>
      <c r="AJ952" s="271">
        <v>68</v>
      </c>
      <c r="AK952" s="271">
        <v>64</v>
      </c>
      <c r="AL952" s="271">
        <v>60</v>
      </c>
      <c r="AM952" s="271">
        <v>50</v>
      </c>
      <c r="AN952" s="271">
        <v>50</v>
      </c>
      <c r="AO952" s="298">
        <v>40</v>
      </c>
      <c r="AP952" s="298">
        <v>45</v>
      </c>
      <c r="AQ952" s="298">
        <v>54</v>
      </c>
      <c r="AR952" s="298">
        <v>61</v>
      </c>
      <c r="AS952" s="298">
        <v>59</v>
      </c>
      <c r="AT952" s="298">
        <v>54</v>
      </c>
      <c r="AU952" s="298">
        <v>52</v>
      </c>
      <c r="AV952" s="298">
        <f t="shared" si="66"/>
        <v>52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0.97989999999999999</v>
      </c>
      <c r="M953" s="271">
        <v>0.97570000000000001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56</v>
      </c>
      <c r="AD953" s="298">
        <v>56</v>
      </c>
      <c r="AE953" s="271">
        <v>49</v>
      </c>
      <c r="AF953" s="271">
        <v>55</v>
      </c>
      <c r="AG953" s="271">
        <v>65</v>
      </c>
      <c r="AH953" s="271">
        <v>94</v>
      </c>
      <c r="AI953" s="271">
        <v>52</v>
      </c>
      <c r="AJ953" s="271">
        <v>51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50</v>
      </c>
      <c r="AP953" s="298">
        <v>50</v>
      </c>
      <c r="AQ953" s="298">
        <v>50</v>
      </c>
      <c r="AR953" s="298">
        <v>50</v>
      </c>
      <c r="AS953" s="298">
        <v>48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58.6</v>
      </c>
      <c r="G954" s="271">
        <v>59.42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69</v>
      </c>
      <c r="AD954" s="298">
        <v>69</v>
      </c>
      <c r="AE954" s="271">
        <v>65</v>
      </c>
      <c r="AF954" s="271">
        <v>66</v>
      </c>
      <c r="AG954" s="271">
        <v>62</v>
      </c>
      <c r="AH954" s="271">
        <v>56</v>
      </c>
      <c r="AI954" s="271">
        <v>45</v>
      </c>
      <c r="AJ954" s="271">
        <v>42</v>
      </c>
      <c r="AK954" s="271">
        <v>42</v>
      </c>
      <c r="AL954" s="271">
        <v>43</v>
      </c>
      <c r="AM954" s="271">
        <v>41</v>
      </c>
      <c r="AN954" s="271">
        <v>41</v>
      </c>
      <c r="AO954" s="298">
        <v>40</v>
      </c>
      <c r="AP954" s="298">
        <v>34</v>
      </c>
      <c r="AQ954" s="298">
        <v>41</v>
      </c>
      <c r="AR954" s="298">
        <v>40</v>
      </c>
      <c r="AS954" s="298">
        <v>44</v>
      </c>
      <c r="AT954" s="298">
        <v>47</v>
      </c>
      <c r="AU954" s="298">
        <v>48</v>
      </c>
      <c r="AV954" s="298">
        <f t="shared" si="66"/>
        <v>48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14.41</v>
      </c>
      <c r="G955" s="271">
        <v>14.465</v>
      </c>
      <c r="H955" s="271">
        <v>14.56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74</v>
      </c>
      <c r="AD955" s="298">
        <v>74</v>
      </c>
      <c r="AE955" s="271">
        <v>71</v>
      </c>
      <c r="AF955" s="271">
        <v>68</v>
      </c>
      <c r="AG955" s="271">
        <v>73</v>
      </c>
      <c r="AH955" s="271">
        <v>65</v>
      </c>
      <c r="AI955" s="271">
        <v>60</v>
      </c>
      <c r="AJ955" s="271">
        <v>58</v>
      </c>
      <c r="AK955" s="271">
        <v>53</v>
      </c>
      <c r="AL955" s="271">
        <v>53</v>
      </c>
      <c r="AM955" s="271">
        <v>56</v>
      </c>
      <c r="AN955" s="271">
        <v>56</v>
      </c>
      <c r="AO955" s="298">
        <v>51</v>
      </c>
      <c r="AP955" s="298">
        <v>44</v>
      </c>
      <c r="AQ955" s="298">
        <v>30</v>
      </c>
      <c r="AR955" s="298">
        <v>35</v>
      </c>
      <c r="AS955" s="298">
        <v>36</v>
      </c>
      <c r="AT955" s="298">
        <v>41</v>
      </c>
      <c r="AU955" s="298">
        <v>36</v>
      </c>
      <c r="AV955" s="298">
        <f t="shared" si="66"/>
        <v>36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38</v>
      </c>
      <c r="AD956" s="298">
        <v>38</v>
      </c>
      <c r="AE956" s="271">
        <v>44</v>
      </c>
      <c r="AF956" s="271">
        <v>42</v>
      </c>
      <c r="AG956" s="271">
        <v>36</v>
      </c>
      <c r="AH956" s="271">
        <v>29</v>
      </c>
      <c r="AI956" s="271">
        <v>32</v>
      </c>
      <c r="AJ956" s="271">
        <v>33</v>
      </c>
      <c r="AK956" s="271">
        <v>35</v>
      </c>
      <c r="AL956" s="271">
        <v>39</v>
      </c>
      <c r="AM956" s="271">
        <v>38</v>
      </c>
      <c r="AN956" s="271">
        <v>38</v>
      </c>
      <c r="AO956" s="298">
        <v>38</v>
      </c>
      <c r="AP956" s="298">
        <v>52</v>
      </c>
      <c r="AQ956" s="298">
        <v>59</v>
      </c>
      <c r="AR956" s="298">
        <v>56</v>
      </c>
      <c r="AS956" s="298">
        <v>55</v>
      </c>
      <c r="AT956" s="298">
        <v>54</v>
      </c>
      <c r="AU956" s="298">
        <v>56</v>
      </c>
      <c r="AV956" s="298">
        <f t="shared" si="66"/>
        <v>56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35</v>
      </c>
      <c r="AD957" s="298">
        <v>35</v>
      </c>
      <c r="AE957" s="271">
        <v>24</v>
      </c>
      <c r="AF957" s="271">
        <v>25</v>
      </c>
      <c r="AG957" s="271">
        <v>24</v>
      </c>
      <c r="AH957" s="271">
        <v>25</v>
      </c>
      <c r="AI957" s="271">
        <v>29</v>
      </c>
      <c r="AJ957" s="271">
        <v>32</v>
      </c>
      <c r="AK957" s="271">
        <v>33</v>
      </c>
      <c r="AL957" s="271">
        <v>36</v>
      </c>
      <c r="AM957" s="271">
        <v>33</v>
      </c>
      <c r="AN957" s="271">
        <v>33</v>
      </c>
      <c r="AO957" s="298">
        <v>32</v>
      </c>
      <c r="AP957" s="298">
        <v>39</v>
      </c>
      <c r="AQ957" s="298">
        <v>46</v>
      </c>
      <c r="AR957" s="298">
        <v>45</v>
      </c>
      <c r="AS957" s="298">
        <v>38</v>
      </c>
      <c r="AT957" s="298">
        <v>49</v>
      </c>
      <c r="AU957" s="298">
        <v>42</v>
      </c>
      <c r="AV957" s="298">
        <f t="shared" si="66"/>
        <v>42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59</v>
      </c>
      <c r="AD958" s="298">
        <v>59</v>
      </c>
      <c r="AE958" s="271">
        <v>51</v>
      </c>
      <c r="AF958" s="271">
        <v>51</v>
      </c>
      <c r="AG958" s="271">
        <v>51</v>
      </c>
      <c r="AH958" s="271">
        <v>56</v>
      </c>
      <c r="AI958" s="271">
        <v>51</v>
      </c>
      <c r="AJ958" s="271">
        <v>49</v>
      </c>
      <c r="AK958" s="271">
        <v>51</v>
      </c>
      <c r="AL958" s="271">
        <v>49</v>
      </c>
      <c r="AM958" s="271">
        <v>45</v>
      </c>
      <c r="AN958" s="271">
        <v>45</v>
      </c>
      <c r="AO958" s="298">
        <v>51</v>
      </c>
      <c r="AP958" s="298">
        <v>53</v>
      </c>
      <c r="AQ958" s="298">
        <v>50</v>
      </c>
      <c r="AR958" s="298">
        <v>53</v>
      </c>
      <c r="AS958" s="298">
        <v>57</v>
      </c>
      <c r="AT958" s="298">
        <v>41</v>
      </c>
      <c r="AU958" s="298">
        <v>48</v>
      </c>
      <c r="AV958" s="298">
        <f t="shared" si="66"/>
        <v>48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43</v>
      </c>
      <c r="AD959" s="298">
        <v>43</v>
      </c>
      <c r="AE959" s="271">
        <v>38</v>
      </c>
      <c r="AF959" s="271">
        <v>36</v>
      </c>
      <c r="AG959" s="271">
        <v>26</v>
      </c>
      <c r="AH959" s="271">
        <v>23</v>
      </c>
      <c r="AI959" s="271">
        <v>28</v>
      </c>
      <c r="AJ959" s="271">
        <v>30</v>
      </c>
      <c r="AK959" s="271">
        <v>32</v>
      </c>
      <c r="AL959" s="271">
        <v>32</v>
      </c>
      <c r="AM959" s="271">
        <v>28</v>
      </c>
      <c r="AN959" s="271">
        <v>28</v>
      </c>
      <c r="AO959" s="298">
        <v>40</v>
      </c>
      <c r="AP959" s="298">
        <v>57</v>
      </c>
      <c r="AQ959" s="298">
        <v>62</v>
      </c>
      <c r="AR959" s="298">
        <v>55</v>
      </c>
      <c r="AS959" s="298">
        <v>48</v>
      </c>
      <c r="AT959" s="298">
        <v>49</v>
      </c>
      <c r="AU959" s="298">
        <v>50</v>
      </c>
      <c r="AV959" s="298">
        <f t="shared" si="66"/>
        <v>50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44</v>
      </c>
      <c r="AD960" s="298">
        <v>44</v>
      </c>
      <c r="AE960" s="271">
        <v>40</v>
      </c>
      <c r="AF960" s="271">
        <v>37</v>
      </c>
      <c r="AG960" s="271">
        <v>34</v>
      </c>
      <c r="AH960" s="271">
        <v>31</v>
      </c>
      <c r="AI960" s="271">
        <v>31</v>
      </c>
      <c r="AJ960" s="271">
        <v>31</v>
      </c>
      <c r="AK960" s="271">
        <v>30</v>
      </c>
      <c r="AL960" s="271">
        <v>29</v>
      </c>
      <c r="AM960" s="271">
        <v>26</v>
      </c>
      <c r="AN960" s="271">
        <v>26</v>
      </c>
      <c r="AO960" s="298">
        <v>27</v>
      </c>
      <c r="AP960" s="298">
        <v>40</v>
      </c>
      <c r="AQ960" s="298">
        <v>58</v>
      </c>
      <c r="AR960" s="298">
        <v>59</v>
      </c>
      <c r="AS960" s="298">
        <v>50</v>
      </c>
      <c r="AT960" s="298">
        <v>50</v>
      </c>
      <c r="AU960" s="298">
        <v>46</v>
      </c>
      <c r="AV960" s="298">
        <f t="shared" ref="AV960:AV988" si="67">INT(100-100/(1+SUMIF(F663:Y663,"&gt;0",F663:Y663)/ABS(SUMIF(F663:Y663,"&lt;0",F663:Y663))))</f>
        <v>46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823.9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819.7</v>
      </c>
      <c r="R961" s="271">
        <v>819.7</v>
      </c>
      <c r="S961" s="271">
        <v>819.7</v>
      </c>
      <c r="T961" s="271">
        <v>819.7</v>
      </c>
      <c r="U961" s="271">
        <v>804.6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52</v>
      </c>
      <c r="AD961" s="298">
        <v>52</v>
      </c>
      <c r="AE961" s="271">
        <v>40</v>
      </c>
      <c r="AF961" s="271">
        <v>45</v>
      </c>
      <c r="AG961" s="271">
        <v>47</v>
      </c>
      <c r="AH961" s="271">
        <v>51</v>
      </c>
      <c r="AI961" s="271">
        <v>51</v>
      </c>
      <c r="AJ961" s="271">
        <v>51</v>
      </c>
      <c r="AK961" s="271">
        <v>47</v>
      </c>
      <c r="AL961" s="271">
        <v>50</v>
      </c>
      <c r="AM961" s="271">
        <v>34</v>
      </c>
      <c r="AN961" s="271">
        <v>34</v>
      </c>
      <c r="AO961" s="298">
        <v>38</v>
      </c>
      <c r="AP961" s="298">
        <v>57</v>
      </c>
      <c r="AQ961" s="298">
        <v>69</v>
      </c>
      <c r="AR961" s="298">
        <v>69</v>
      </c>
      <c r="AS961" s="298">
        <v>70</v>
      </c>
      <c r="AT961" s="298">
        <v>70</v>
      </c>
      <c r="AU961" s="298">
        <v>69</v>
      </c>
      <c r="AV961" s="298">
        <f t="shared" si="67"/>
        <v>69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60</v>
      </c>
      <c r="AD962" s="298">
        <v>60</v>
      </c>
      <c r="AE962" s="271">
        <v>50</v>
      </c>
      <c r="AF962" s="271">
        <v>46</v>
      </c>
      <c r="AG962" s="271">
        <v>44</v>
      </c>
      <c r="AH962" s="271">
        <v>44</v>
      </c>
      <c r="AI962" s="271">
        <v>44</v>
      </c>
      <c r="AJ962" s="271">
        <v>55</v>
      </c>
      <c r="AK962" s="271">
        <v>53</v>
      </c>
      <c r="AL962" s="271">
        <v>52</v>
      </c>
      <c r="AM962" s="271">
        <v>50</v>
      </c>
      <c r="AN962" s="271">
        <v>50</v>
      </c>
      <c r="AO962" s="298">
        <v>49</v>
      </c>
      <c r="AP962" s="298">
        <v>48</v>
      </c>
      <c r="AQ962" s="298">
        <v>50</v>
      </c>
      <c r="AR962" s="298">
        <v>48</v>
      </c>
      <c r="AS962" s="298">
        <v>46</v>
      </c>
      <c r="AT962" s="298">
        <v>35</v>
      </c>
      <c r="AU962" s="298">
        <v>36</v>
      </c>
      <c r="AV962" s="298">
        <f t="shared" si="67"/>
        <v>36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46</v>
      </c>
      <c r="AF963" s="271">
        <v>48</v>
      </c>
      <c r="AG963" s="271">
        <v>49</v>
      </c>
      <c r="AH963" s="271">
        <v>47</v>
      </c>
      <c r="AI963" s="271">
        <v>43</v>
      </c>
      <c r="AJ963" s="271">
        <v>38</v>
      </c>
      <c r="AK963" s="271">
        <v>38</v>
      </c>
      <c r="AL963" s="271">
        <v>41</v>
      </c>
      <c r="AM963" s="271">
        <v>40</v>
      </c>
      <c r="AN963" s="271">
        <v>40</v>
      </c>
      <c r="AO963" s="298">
        <v>38</v>
      </c>
      <c r="AP963" s="298">
        <v>46</v>
      </c>
      <c r="AQ963" s="298">
        <v>55</v>
      </c>
      <c r="AR963" s="298">
        <v>46</v>
      </c>
      <c r="AS963" s="298">
        <v>44</v>
      </c>
      <c r="AT963" s="298">
        <v>45</v>
      </c>
      <c r="AU963" s="298">
        <v>36</v>
      </c>
      <c r="AV963" s="298">
        <f t="shared" si="67"/>
        <v>36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84</v>
      </c>
      <c r="AG964" s="271">
        <v>82</v>
      </c>
      <c r="AH964" s="271">
        <v>81</v>
      </c>
      <c r="AI964" s="271">
        <v>76</v>
      </c>
      <c r="AJ964" s="271">
        <v>65</v>
      </c>
      <c r="AK964" s="271">
        <v>66</v>
      </c>
      <c r="AL964" s="271">
        <v>62</v>
      </c>
      <c r="AM964" s="271">
        <v>58</v>
      </c>
      <c r="AN964" s="271">
        <v>58</v>
      </c>
      <c r="AO964" s="298">
        <v>56</v>
      </c>
      <c r="AP964" s="298">
        <v>54</v>
      </c>
      <c r="AQ964" s="298">
        <v>59</v>
      </c>
      <c r="AR964" s="298">
        <v>58</v>
      </c>
      <c r="AS964" s="298">
        <v>54</v>
      </c>
      <c r="AT964" s="298">
        <v>60</v>
      </c>
      <c r="AU964" s="298">
        <v>52</v>
      </c>
      <c r="AV964" s="298">
        <f t="shared" si="67"/>
        <v>52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393.9</v>
      </c>
      <c r="J965" s="271">
        <v>393.9</v>
      </c>
      <c r="K965" s="271">
        <v>393.9</v>
      </c>
      <c r="L965" s="271">
        <v>396.7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397.9</v>
      </c>
      <c r="W965" s="271">
        <v>398.7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61</v>
      </c>
      <c r="AD965" s="298">
        <v>61</v>
      </c>
      <c r="AE965" s="271">
        <v>60</v>
      </c>
      <c r="AF965" s="271">
        <v>65</v>
      </c>
      <c r="AG965" s="271">
        <v>61</v>
      </c>
      <c r="AH965" s="271">
        <v>67</v>
      </c>
      <c r="AI965" s="271">
        <v>63</v>
      </c>
      <c r="AJ965" s="271">
        <v>56</v>
      </c>
      <c r="AK965" s="271">
        <v>58</v>
      </c>
      <c r="AL965" s="271">
        <v>64</v>
      </c>
      <c r="AM965" s="271">
        <v>57</v>
      </c>
      <c r="AN965" s="271">
        <v>57</v>
      </c>
      <c r="AO965" s="298">
        <v>60</v>
      </c>
      <c r="AP965" s="298">
        <v>61</v>
      </c>
      <c r="AQ965" s="298">
        <v>66</v>
      </c>
      <c r="AR965" s="298">
        <v>66</v>
      </c>
      <c r="AS965" s="298">
        <v>55</v>
      </c>
      <c r="AT965" s="298">
        <v>50</v>
      </c>
      <c r="AU965" s="298">
        <v>51</v>
      </c>
      <c r="AV965" s="298">
        <f t="shared" si="67"/>
        <v>51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89.8</v>
      </c>
      <c r="L966" s="271">
        <v>83.6738</v>
      </c>
      <c r="M966" s="271">
        <v>83.6738</v>
      </c>
      <c r="N966" s="271">
        <v>81.61</v>
      </c>
      <c r="O966" s="271">
        <v>80.56</v>
      </c>
      <c r="P966" s="271">
        <v>79.958699999999993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79.88</v>
      </c>
      <c r="Y966" s="271">
        <v>75.371399999999994</v>
      </c>
      <c r="Z966" s="273">
        <f ca="1">[1]ExtEntry!$O73</f>
        <v>75.371399999999994</v>
      </c>
      <c r="AB966" s="298">
        <v>43</v>
      </c>
      <c r="AC966" s="298">
        <v>45</v>
      </c>
      <c r="AD966" s="298">
        <v>45</v>
      </c>
      <c r="AE966" s="271">
        <v>42</v>
      </c>
      <c r="AF966" s="271">
        <v>43</v>
      </c>
      <c r="AG966" s="271">
        <v>41</v>
      </c>
      <c r="AH966" s="271">
        <v>37</v>
      </c>
      <c r="AI966" s="271">
        <v>29</v>
      </c>
      <c r="AJ966" s="271">
        <v>22</v>
      </c>
      <c r="AK966" s="271">
        <v>22</v>
      </c>
      <c r="AL966" s="271">
        <v>21</v>
      </c>
      <c r="AM966" s="271">
        <v>20</v>
      </c>
      <c r="AN966" s="271">
        <v>20</v>
      </c>
      <c r="AO966" s="298">
        <v>21</v>
      </c>
      <c r="AP966" s="298">
        <v>32</v>
      </c>
      <c r="AQ966" s="298">
        <v>37</v>
      </c>
      <c r="AR966" s="298">
        <v>31</v>
      </c>
      <c r="AS966" s="298">
        <v>31</v>
      </c>
      <c r="AT966" s="298">
        <v>37</v>
      </c>
      <c r="AU966" s="298">
        <v>25</v>
      </c>
      <c r="AV966" s="298">
        <f t="shared" si="67"/>
        <v>25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63</v>
      </c>
      <c r="AD967" s="298">
        <v>63</v>
      </c>
      <c r="AE967" s="271">
        <v>57</v>
      </c>
      <c r="AF967" s="271">
        <v>48</v>
      </c>
      <c r="AG967" s="271">
        <v>43</v>
      </c>
      <c r="AH967" s="271">
        <v>39</v>
      </c>
      <c r="AI967" s="271">
        <v>35</v>
      </c>
      <c r="AJ967" s="271">
        <v>32</v>
      </c>
      <c r="AK967" s="271">
        <v>37</v>
      </c>
      <c r="AL967" s="271">
        <v>37</v>
      </c>
      <c r="AM967" s="271">
        <v>36</v>
      </c>
      <c r="AN967" s="271">
        <v>36</v>
      </c>
      <c r="AO967" s="298">
        <v>39</v>
      </c>
      <c r="AP967" s="298">
        <v>37</v>
      </c>
      <c r="AQ967" s="298">
        <v>45</v>
      </c>
      <c r="AR967" s="298">
        <v>46</v>
      </c>
      <c r="AS967" s="298">
        <v>46</v>
      </c>
      <c r="AT967" s="298">
        <v>52</v>
      </c>
      <c r="AU967" s="298">
        <v>55</v>
      </c>
      <c r="AV967" s="298">
        <f t="shared" si="67"/>
        <v>55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15.084</v>
      </c>
      <c r="I968" s="271">
        <v>15.08</v>
      </c>
      <c r="J968" s="271">
        <v>15.08</v>
      </c>
      <c r="K968" s="271">
        <v>15.112</v>
      </c>
      <c r="L968" s="271">
        <v>15.34</v>
      </c>
      <c r="M968" s="271">
        <v>15.34</v>
      </c>
      <c r="N968" s="271">
        <v>15.34</v>
      </c>
      <c r="O968" s="271">
        <v>15.34</v>
      </c>
      <c r="P968" s="271">
        <v>15.39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71</v>
      </c>
      <c r="AF968" s="271">
        <v>70</v>
      </c>
      <c r="AG968" s="271">
        <v>71</v>
      </c>
      <c r="AH968" s="271">
        <v>73</v>
      </c>
      <c r="AI968" s="271">
        <v>68</v>
      </c>
      <c r="AJ968" s="271">
        <v>68</v>
      </c>
      <c r="AK968" s="271">
        <v>64</v>
      </c>
      <c r="AL968" s="271">
        <v>60</v>
      </c>
      <c r="AM968" s="271">
        <v>50</v>
      </c>
      <c r="AN968" s="271">
        <v>50</v>
      </c>
      <c r="AO968" s="298">
        <v>40</v>
      </c>
      <c r="AP968" s="298">
        <v>45</v>
      </c>
      <c r="AQ968" s="298">
        <v>54</v>
      </c>
      <c r="AR968" s="298">
        <v>61</v>
      </c>
      <c r="AS968" s="298">
        <v>59</v>
      </c>
      <c r="AT968" s="298">
        <v>54</v>
      </c>
      <c r="AU968" s="298">
        <v>52</v>
      </c>
      <c r="AV968" s="298">
        <f t="shared" si="67"/>
        <v>52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34</v>
      </c>
      <c r="AD969" s="298">
        <v>34</v>
      </c>
      <c r="AE969" s="271">
        <v>54</v>
      </c>
      <c r="AF969" s="271">
        <v>57</v>
      </c>
      <c r="AG969" s="271">
        <v>49</v>
      </c>
      <c r="AH969" s="271">
        <v>57</v>
      </c>
      <c r="AI969" s="271">
        <v>53</v>
      </c>
      <c r="AJ969" s="271">
        <v>45</v>
      </c>
      <c r="AK969" s="271">
        <v>46</v>
      </c>
      <c r="AL969" s="271">
        <v>47</v>
      </c>
      <c r="AM969" s="271">
        <v>45</v>
      </c>
      <c r="AN969" s="271">
        <v>45</v>
      </c>
      <c r="AO969" s="298">
        <v>51</v>
      </c>
      <c r="AP969" s="298">
        <v>46</v>
      </c>
      <c r="AQ969" s="298">
        <v>49</v>
      </c>
      <c r="AR969" s="298">
        <v>49</v>
      </c>
      <c r="AS969" s="298">
        <v>44</v>
      </c>
      <c r="AT969" s="298">
        <v>43</v>
      </c>
      <c r="AU969" s="298">
        <v>46</v>
      </c>
      <c r="AV969" s="298">
        <f t="shared" si="67"/>
        <v>46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11.98</v>
      </c>
      <c r="O970" s="271">
        <v>11.99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55</v>
      </c>
      <c r="AD970" s="298">
        <v>55</v>
      </c>
      <c r="AE970" s="271">
        <v>59</v>
      </c>
      <c r="AF970" s="271">
        <v>61</v>
      </c>
      <c r="AG970" s="271">
        <v>56</v>
      </c>
      <c r="AH970" s="271">
        <v>55</v>
      </c>
      <c r="AI970" s="271">
        <v>52</v>
      </c>
      <c r="AJ970" s="271">
        <v>49</v>
      </c>
      <c r="AK970" s="271">
        <v>47</v>
      </c>
      <c r="AL970" s="271">
        <v>44</v>
      </c>
      <c r="AM970" s="271">
        <v>47</v>
      </c>
      <c r="AN970" s="271">
        <v>47</v>
      </c>
      <c r="AO970" s="298">
        <v>48</v>
      </c>
      <c r="AP970" s="298">
        <v>49</v>
      </c>
      <c r="AQ970" s="298">
        <v>54</v>
      </c>
      <c r="AR970" s="298">
        <v>47</v>
      </c>
      <c r="AS970" s="298">
        <v>42</v>
      </c>
      <c r="AT970" s="298">
        <v>49</v>
      </c>
      <c r="AU970" s="298">
        <v>42</v>
      </c>
      <c r="AV970" s="298">
        <f t="shared" si="67"/>
        <v>42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58.6</v>
      </c>
      <c r="G971" s="271">
        <v>59.42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69</v>
      </c>
      <c r="AD971" s="298">
        <v>69</v>
      </c>
      <c r="AE971" s="271">
        <v>65</v>
      </c>
      <c r="AF971" s="271">
        <v>66</v>
      </c>
      <c r="AG971" s="271">
        <v>62</v>
      </c>
      <c r="AH971" s="271">
        <v>56</v>
      </c>
      <c r="AI971" s="271">
        <v>45</v>
      </c>
      <c r="AJ971" s="271">
        <v>42</v>
      </c>
      <c r="AK971" s="271">
        <v>42</v>
      </c>
      <c r="AL971" s="271">
        <v>43</v>
      </c>
      <c r="AM971" s="271">
        <v>41</v>
      </c>
      <c r="AN971" s="271">
        <v>41</v>
      </c>
      <c r="AO971" s="298">
        <v>40</v>
      </c>
      <c r="AP971" s="298">
        <v>34</v>
      </c>
      <c r="AQ971" s="298">
        <v>41</v>
      </c>
      <c r="AR971" s="298">
        <v>40</v>
      </c>
      <c r="AS971" s="298">
        <v>44</v>
      </c>
      <c r="AT971" s="298">
        <v>47</v>
      </c>
      <c r="AU971" s="298">
        <v>48</v>
      </c>
      <c r="AV971" s="298">
        <f t="shared" si="67"/>
        <v>48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203.2499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83</v>
      </c>
      <c r="AD972" s="298">
        <v>83</v>
      </c>
      <c r="AE972" s="271">
        <v>81</v>
      </c>
      <c r="AF972" s="271">
        <v>81</v>
      </c>
      <c r="AG972" s="271">
        <v>72</v>
      </c>
      <c r="AH972" s="271">
        <v>74</v>
      </c>
      <c r="AI972" s="271">
        <v>70</v>
      </c>
      <c r="AJ972" s="271">
        <v>67</v>
      </c>
      <c r="AK972" s="271">
        <v>66</v>
      </c>
      <c r="AL972" s="271">
        <v>64</v>
      </c>
      <c r="AM972" s="271">
        <v>60</v>
      </c>
      <c r="AN972" s="271">
        <v>60</v>
      </c>
      <c r="AO972" s="298">
        <v>37</v>
      </c>
      <c r="AP972" s="298">
        <v>21</v>
      </c>
      <c r="AQ972" s="298">
        <v>26</v>
      </c>
      <c r="AR972" s="298">
        <v>23</v>
      </c>
      <c r="AS972" s="298">
        <v>26</v>
      </c>
      <c r="AT972" s="298">
        <v>27</v>
      </c>
      <c r="AU972" s="298">
        <v>23</v>
      </c>
      <c r="AV972" s="298">
        <f t="shared" si="67"/>
        <v>23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748.91</v>
      </c>
      <c r="G973" s="271">
        <v>748.91</v>
      </c>
      <c r="H973" s="271">
        <v>749.05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749.16</v>
      </c>
      <c r="N973" s="271">
        <v>753</v>
      </c>
      <c r="O973" s="271">
        <v>753.32770000000005</v>
      </c>
      <c r="P973" s="271">
        <v>753.33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757.35</v>
      </c>
      <c r="V973" s="271">
        <v>765.62</v>
      </c>
      <c r="W973" s="271">
        <v>774.47</v>
      </c>
      <c r="X973" s="271">
        <v>793.16</v>
      </c>
      <c r="Y973" s="271">
        <v>793.17</v>
      </c>
      <c r="Z973" s="273">
        <f ca="1">[1]ExtEntry!$O80</f>
        <v>793.17</v>
      </c>
      <c r="AB973" s="298">
        <v>61</v>
      </c>
      <c r="AC973" s="298">
        <v>55</v>
      </c>
      <c r="AD973" s="298">
        <v>55</v>
      </c>
      <c r="AE973" s="271">
        <v>50</v>
      </c>
      <c r="AF973" s="271">
        <v>47</v>
      </c>
      <c r="AG973" s="271">
        <v>45</v>
      </c>
      <c r="AH973" s="271">
        <v>45</v>
      </c>
      <c r="AI973" s="271">
        <v>43</v>
      </c>
      <c r="AJ973" s="271">
        <v>37</v>
      </c>
      <c r="AK973" s="271">
        <v>36</v>
      </c>
      <c r="AL973" s="271">
        <v>31</v>
      </c>
      <c r="AM973" s="271">
        <v>28</v>
      </c>
      <c r="AN973" s="271">
        <v>28</v>
      </c>
      <c r="AO973" s="298">
        <v>27</v>
      </c>
      <c r="AP973" s="298">
        <v>40</v>
      </c>
      <c r="AQ973" s="298">
        <v>45</v>
      </c>
      <c r="AR973" s="298">
        <v>50</v>
      </c>
      <c r="AS973" s="298">
        <v>53</v>
      </c>
      <c r="AT973" s="298">
        <v>51</v>
      </c>
      <c r="AU973" s="298">
        <v>49</v>
      </c>
      <c r="AV973" s="298">
        <f t="shared" si="67"/>
        <v>49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48</v>
      </c>
      <c r="AD974" s="298">
        <v>48</v>
      </c>
      <c r="AE974" s="271">
        <v>33</v>
      </c>
      <c r="AF974" s="271">
        <v>30</v>
      </c>
      <c r="AG974" s="271">
        <v>30</v>
      </c>
      <c r="AH974" s="271">
        <v>30</v>
      </c>
      <c r="AI974" s="271">
        <v>23</v>
      </c>
      <c r="AJ974" s="271">
        <v>15</v>
      </c>
      <c r="AK974" s="271">
        <v>17</v>
      </c>
      <c r="AL974" s="271">
        <v>18</v>
      </c>
      <c r="AM974" s="271">
        <v>14</v>
      </c>
      <c r="AN974" s="271">
        <v>14</v>
      </c>
      <c r="AO974" s="298">
        <v>13</v>
      </c>
      <c r="AP974" s="298">
        <v>17</v>
      </c>
      <c r="AQ974" s="298">
        <v>21</v>
      </c>
      <c r="AR974" s="298">
        <v>20</v>
      </c>
      <c r="AS974" s="298">
        <v>20</v>
      </c>
      <c r="AT974" s="298">
        <v>11</v>
      </c>
      <c r="AU974" s="298">
        <v>22</v>
      </c>
      <c r="AV974" s="298">
        <f t="shared" si="67"/>
        <v>22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31</v>
      </c>
      <c r="AD975" s="298">
        <v>31</v>
      </c>
      <c r="AE975" s="271">
        <v>35</v>
      </c>
      <c r="AF975" s="271">
        <v>36</v>
      </c>
      <c r="AG975" s="271">
        <v>33</v>
      </c>
      <c r="AH975" s="271">
        <v>31</v>
      </c>
      <c r="AI975" s="271">
        <v>34</v>
      </c>
      <c r="AJ975" s="271">
        <v>32</v>
      </c>
      <c r="AK975" s="271">
        <v>44</v>
      </c>
      <c r="AL975" s="271">
        <v>44</v>
      </c>
      <c r="AM975" s="271">
        <v>42</v>
      </c>
      <c r="AN975" s="271">
        <v>42</v>
      </c>
      <c r="AO975" s="298">
        <v>47</v>
      </c>
      <c r="AP975" s="298">
        <v>47</v>
      </c>
      <c r="AQ975" s="298">
        <v>54</v>
      </c>
      <c r="AR975" s="298">
        <v>50</v>
      </c>
      <c r="AS975" s="298">
        <v>49</v>
      </c>
      <c r="AT975" s="298">
        <v>44</v>
      </c>
      <c r="AU975" s="298">
        <v>43</v>
      </c>
      <c r="AV975" s="298">
        <f t="shared" si="67"/>
        <v>43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601.77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53</v>
      </c>
      <c r="AD976" s="298">
        <v>53</v>
      </c>
      <c r="AE976" s="271">
        <v>56</v>
      </c>
      <c r="AF976" s="271">
        <v>61</v>
      </c>
      <c r="AG976" s="271">
        <v>63</v>
      </c>
      <c r="AH976" s="271">
        <v>57</v>
      </c>
      <c r="AI976" s="271">
        <v>53</v>
      </c>
      <c r="AJ976" s="271">
        <v>50</v>
      </c>
      <c r="AK976" s="271">
        <v>48</v>
      </c>
      <c r="AL976" s="271">
        <v>49</v>
      </c>
      <c r="AM976" s="271">
        <v>43</v>
      </c>
      <c r="AN976" s="271">
        <v>43</v>
      </c>
      <c r="AO976" s="298">
        <v>45</v>
      </c>
      <c r="AP976" s="298">
        <v>48</v>
      </c>
      <c r="AQ976" s="298">
        <v>57</v>
      </c>
      <c r="AR976" s="298">
        <v>47</v>
      </c>
      <c r="AS976" s="298">
        <v>46</v>
      </c>
      <c r="AT976" s="298">
        <v>55</v>
      </c>
      <c r="AU976" s="298">
        <v>47</v>
      </c>
      <c r="AV976" s="298">
        <f t="shared" si="67"/>
        <v>47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70</v>
      </c>
      <c r="AD977" s="298">
        <v>70</v>
      </c>
      <c r="AE977" s="271">
        <v>70</v>
      </c>
      <c r="AF977" s="271">
        <v>67</v>
      </c>
      <c r="AG977" s="271">
        <v>58</v>
      </c>
      <c r="AH977" s="271">
        <v>53</v>
      </c>
      <c r="AI977" s="271">
        <v>48</v>
      </c>
      <c r="AJ977" s="271">
        <v>42</v>
      </c>
      <c r="AK977" s="271">
        <v>43</v>
      </c>
      <c r="AL977" s="271">
        <v>43</v>
      </c>
      <c r="AM977" s="271">
        <v>45</v>
      </c>
      <c r="AN977" s="271">
        <v>45</v>
      </c>
      <c r="AO977" s="298">
        <v>47</v>
      </c>
      <c r="AP977" s="298">
        <v>53</v>
      </c>
      <c r="AQ977" s="298">
        <v>52</v>
      </c>
      <c r="AR977" s="298">
        <v>53</v>
      </c>
      <c r="AS977" s="298">
        <v>54</v>
      </c>
      <c r="AT977" s="298">
        <v>52</v>
      </c>
      <c r="AU977" s="298">
        <v>43</v>
      </c>
      <c r="AV977" s="298">
        <f t="shared" si="67"/>
        <v>43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125.6</v>
      </c>
      <c r="J978" s="271">
        <v>125.6</v>
      </c>
      <c r="K978" s="271">
        <v>127.68</v>
      </c>
      <c r="L978" s="271">
        <v>128.03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128.4385</v>
      </c>
      <c r="T978" s="271">
        <v>129.21</v>
      </c>
      <c r="U978" s="271">
        <v>130.46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44</v>
      </c>
      <c r="AD978" s="298">
        <v>44</v>
      </c>
      <c r="AE978" s="271">
        <v>69</v>
      </c>
      <c r="AF978" s="271">
        <v>70</v>
      </c>
      <c r="AG978" s="271">
        <v>72</v>
      </c>
      <c r="AH978" s="271">
        <v>67</v>
      </c>
      <c r="AI978" s="271">
        <v>67</v>
      </c>
      <c r="AJ978" s="271">
        <v>66</v>
      </c>
      <c r="AK978" s="271">
        <v>66</v>
      </c>
      <c r="AL978" s="271">
        <v>66</v>
      </c>
      <c r="AM978" s="271">
        <v>69</v>
      </c>
      <c r="AN978" s="271">
        <v>69</v>
      </c>
      <c r="AO978" s="298">
        <v>72</v>
      </c>
      <c r="AP978" s="298">
        <v>83</v>
      </c>
      <c r="AQ978" s="298">
        <v>77</v>
      </c>
      <c r="AR978" s="298">
        <v>73</v>
      </c>
      <c r="AS978" s="298">
        <v>68</v>
      </c>
      <c r="AT978" s="298">
        <v>68</v>
      </c>
      <c r="AU978" s="298">
        <v>55</v>
      </c>
      <c r="AV978" s="298">
        <f t="shared" si="67"/>
        <v>55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14.41</v>
      </c>
      <c r="G979" s="271">
        <v>14.465</v>
      </c>
      <c r="H979" s="271">
        <v>14.56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74</v>
      </c>
      <c r="AD979" s="298">
        <v>74</v>
      </c>
      <c r="AE979" s="271">
        <v>71</v>
      </c>
      <c r="AF979" s="271">
        <v>68</v>
      </c>
      <c r="AG979" s="271">
        <v>73</v>
      </c>
      <c r="AH979" s="271">
        <v>65</v>
      </c>
      <c r="AI979" s="271">
        <v>60</v>
      </c>
      <c r="AJ979" s="271">
        <v>58</v>
      </c>
      <c r="AK979" s="271">
        <v>53</v>
      </c>
      <c r="AL979" s="271">
        <v>53</v>
      </c>
      <c r="AM979" s="271">
        <v>56</v>
      </c>
      <c r="AN979" s="271">
        <v>56</v>
      </c>
      <c r="AO979" s="298">
        <v>51</v>
      </c>
      <c r="AP979" s="298">
        <v>44</v>
      </c>
      <c r="AQ979" s="298">
        <v>30</v>
      </c>
      <c r="AR979" s="298">
        <v>35</v>
      </c>
      <c r="AS979" s="298">
        <v>36</v>
      </c>
      <c r="AT979" s="298">
        <v>41</v>
      </c>
      <c r="AU979" s="298">
        <v>36</v>
      </c>
      <c r="AV979" s="298">
        <f t="shared" si="67"/>
        <v>36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57.57</v>
      </c>
      <c r="O980" s="271">
        <v>57.57</v>
      </c>
      <c r="P980" s="271">
        <v>57.57</v>
      </c>
      <c r="Q980" s="271">
        <v>56.49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41</v>
      </c>
      <c r="AF980" s="271">
        <v>40</v>
      </c>
      <c r="AG980" s="271">
        <v>44</v>
      </c>
      <c r="AH980" s="271">
        <v>50</v>
      </c>
      <c r="AI980" s="271">
        <v>43</v>
      </c>
      <c r="AJ980" s="271">
        <v>43</v>
      </c>
      <c r="AK980" s="271">
        <v>42</v>
      </c>
      <c r="AL980" s="271">
        <v>42</v>
      </c>
      <c r="AM980" s="271">
        <v>38</v>
      </c>
      <c r="AN980" s="271">
        <v>38</v>
      </c>
      <c r="AO980" s="298">
        <v>36</v>
      </c>
      <c r="AP980" s="298">
        <v>36</v>
      </c>
      <c r="AQ980" s="298">
        <v>36</v>
      </c>
      <c r="AR980" s="298">
        <v>37</v>
      </c>
      <c r="AS980" s="298">
        <v>44</v>
      </c>
      <c r="AT980" s="298">
        <v>41</v>
      </c>
      <c r="AU980" s="298">
        <v>38</v>
      </c>
      <c r="AV980" s="298">
        <f t="shared" si="67"/>
        <v>38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53</v>
      </c>
      <c r="AD981" s="298">
        <v>53</v>
      </c>
      <c r="AE981" s="271">
        <v>56</v>
      </c>
      <c r="AF981" s="271">
        <v>59</v>
      </c>
      <c r="AG981" s="271">
        <v>60</v>
      </c>
      <c r="AH981" s="271">
        <v>54</v>
      </c>
      <c r="AI981" s="271">
        <v>50</v>
      </c>
      <c r="AJ981" s="271">
        <v>50</v>
      </c>
      <c r="AK981" s="271">
        <v>46</v>
      </c>
      <c r="AL981" s="271">
        <v>48</v>
      </c>
      <c r="AM981" s="271">
        <v>53</v>
      </c>
      <c r="AN981" s="271">
        <v>53</v>
      </c>
      <c r="AO981" s="298">
        <v>58</v>
      </c>
      <c r="AP981" s="298">
        <v>57</v>
      </c>
      <c r="AQ981" s="298">
        <v>52</v>
      </c>
      <c r="AR981" s="298">
        <v>53</v>
      </c>
      <c r="AS981" s="298">
        <v>37</v>
      </c>
      <c r="AT981" s="298">
        <v>41</v>
      </c>
      <c r="AU981" s="298">
        <v>27</v>
      </c>
      <c r="AV981" s="298">
        <f t="shared" si="67"/>
        <v>27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5.1999000000000004</v>
      </c>
      <c r="L982" s="271">
        <v>5.1100000000000003</v>
      </c>
      <c r="M982" s="271">
        <v>5.1100000000000003</v>
      </c>
      <c r="N982" s="271">
        <v>5.0049999999999999</v>
      </c>
      <c r="O982" s="271">
        <v>4.87</v>
      </c>
      <c r="P982" s="271">
        <v>4.87</v>
      </c>
      <c r="Q982" s="271">
        <v>4.76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58</v>
      </c>
      <c r="AD982" s="298">
        <v>58</v>
      </c>
      <c r="AE982" s="271">
        <v>49</v>
      </c>
      <c r="AF982" s="271">
        <v>45</v>
      </c>
      <c r="AG982" s="271">
        <v>42</v>
      </c>
      <c r="AH982" s="271">
        <v>44</v>
      </c>
      <c r="AI982" s="271">
        <v>33</v>
      </c>
      <c r="AJ982" s="271">
        <v>30</v>
      </c>
      <c r="AK982" s="271">
        <v>29</v>
      </c>
      <c r="AL982" s="271">
        <v>29</v>
      </c>
      <c r="AM982" s="271">
        <v>26</v>
      </c>
      <c r="AN982" s="271">
        <v>26</v>
      </c>
      <c r="AO982" s="298">
        <v>26</v>
      </c>
      <c r="AP982" s="298">
        <v>34</v>
      </c>
      <c r="AQ982" s="298">
        <v>41</v>
      </c>
      <c r="AR982" s="298">
        <v>41</v>
      </c>
      <c r="AS982" s="298">
        <v>40</v>
      </c>
      <c r="AT982" s="298">
        <v>39</v>
      </c>
      <c r="AU982" s="298">
        <v>41</v>
      </c>
      <c r="AV982" s="298">
        <f t="shared" si="67"/>
        <v>41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18</v>
      </c>
      <c r="AD983" s="298">
        <v>18</v>
      </c>
      <c r="AE983" s="271">
        <v>13</v>
      </c>
      <c r="AF983" s="271">
        <v>13</v>
      </c>
      <c r="AG983" s="271">
        <v>18</v>
      </c>
      <c r="AH983" s="271">
        <v>25</v>
      </c>
      <c r="AI983" s="271">
        <v>30</v>
      </c>
      <c r="AJ983" s="271">
        <v>29</v>
      </c>
      <c r="AK983" s="271">
        <v>27</v>
      </c>
      <c r="AL983" s="271">
        <v>30</v>
      </c>
      <c r="AM983" s="271">
        <v>28</v>
      </c>
      <c r="AN983" s="271">
        <v>28</v>
      </c>
      <c r="AO983" s="298">
        <v>27</v>
      </c>
      <c r="AP983" s="298">
        <v>38</v>
      </c>
      <c r="AQ983" s="298">
        <v>40</v>
      </c>
      <c r="AR983" s="298">
        <v>45</v>
      </c>
      <c r="AS983" s="298">
        <v>47</v>
      </c>
      <c r="AT983" s="298">
        <v>49</v>
      </c>
      <c r="AU983" s="298">
        <v>51</v>
      </c>
      <c r="AV983" s="298">
        <f t="shared" si="67"/>
        <v>51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68</v>
      </c>
      <c r="AD984" s="298">
        <v>68</v>
      </c>
      <c r="AE984" s="271">
        <v>58</v>
      </c>
      <c r="AF984" s="271">
        <v>52</v>
      </c>
      <c r="AG984" s="271">
        <v>43</v>
      </c>
      <c r="AH984" s="271">
        <v>29</v>
      </c>
      <c r="AI984" s="271">
        <v>27</v>
      </c>
      <c r="AJ984" s="271">
        <v>27</v>
      </c>
      <c r="AK984" s="271">
        <v>30</v>
      </c>
      <c r="AL984" s="271">
        <v>26</v>
      </c>
      <c r="AM984" s="271">
        <v>22</v>
      </c>
      <c r="AN984" s="271">
        <v>22</v>
      </c>
      <c r="AO984" s="298">
        <v>22</v>
      </c>
      <c r="AP984" s="298">
        <v>25</v>
      </c>
      <c r="AQ984" s="298">
        <v>32</v>
      </c>
      <c r="AR984" s="298">
        <v>28</v>
      </c>
      <c r="AS984" s="298">
        <v>27</v>
      </c>
      <c r="AT984" s="298">
        <v>23</v>
      </c>
      <c r="AU984" s="298">
        <v>15</v>
      </c>
      <c r="AV984" s="298">
        <f t="shared" si="67"/>
        <v>15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186.05</v>
      </c>
      <c r="R985" s="271">
        <v>186.26</v>
      </c>
      <c r="S985" s="271">
        <v>187.03</v>
      </c>
      <c r="T985" s="271">
        <v>193.46</v>
      </c>
      <c r="U985" s="271">
        <v>196.73</v>
      </c>
      <c r="V985" s="271">
        <v>196.73</v>
      </c>
      <c r="W985" s="271">
        <v>199.99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59</v>
      </c>
      <c r="AD985" s="298">
        <v>59</v>
      </c>
      <c r="AE985" s="271">
        <v>62</v>
      </c>
      <c r="AF985" s="271">
        <v>64</v>
      </c>
      <c r="AG985" s="271">
        <v>65</v>
      </c>
      <c r="AH985" s="271">
        <v>66</v>
      </c>
      <c r="AI985" s="271">
        <v>65</v>
      </c>
      <c r="AJ985" s="271">
        <v>64</v>
      </c>
      <c r="AK985" s="271">
        <v>79</v>
      </c>
      <c r="AL985" s="271">
        <v>76</v>
      </c>
      <c r="AM985" s="271">
        <v>74</v>
      </c>
      <c r="AN985" s="271">
        <v>74</v>
      </c>
      <c r="AO985" s="298">
        <v>71</v>
      </c>
      <c r="AP985" s="298">
        <v>82</v>
      </c>
      <c r="AQ985" s="298">
        <v>81</v>
      </c>
      <c r="AR985" s="298">
        <v>82</v>
      </c>
      <c r="AS985" s="298">
        <v>75</v>
      </c>
      <c r="AT985" s="298">
        <v>74</v>
      </c>
      <c r="AU985" s="298">
        <v>72</v>
      </c>
      <c r="AV985" s="298">
        <f t="shared" si="67"/>
        <v>72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49</v>
      </c>
      <c r="AD987" s="298">
        <v>49</v>
      </c>
      <c r="AE987" s="271">
        <v>52</v>
      </c>
      <c r="AF987" s="271">
        <v>47</v>
      </c>
      <c r="AG987" s="271">
        <v>39</v>
      </c>
      <c r="AH987" s="271">
        <v>39</v>
      </c>
      <c r="AI987" s="271">
        <v>52</v>
      </c>
      <c r="AJ987" s="271">
        <v>57</v>
      </c>
      <c r="AK987" s="271">
        <v>55</v>
      </c>
      <c r="AL987" s="271">
        <v>53</v>
      </c>
      <c r="AM987" s="271">
        <v>46</v>
      </c>
      <c r="AN987" s="271">
        <v>46</v>
      </c>
      <c r="AO987" s="298">
        <v>41</v>
      </c>
      <c r="AP987" s="298">
        <v>43</v>
      </c>
      <c r="AQ987" s="298">
        <v>46</v>
      </c>
      <c r="AR987" s="298">
        <v>37</v>
      </c>
      <c r="AS987" s="298">
        <v>40</v>
      </c>
      <c r="AT987" s="298">
        <v>40</v>
      </c>
      <c r="AU987" s="298">
        <v>42</v>
      </c>
      <c r="AV987" s="298">
        <f t="shared" si="67"/>
        <v>42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10.082000000000001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10.178000000000001</v>
      </c>
      <c r="V988" s="263">
        <v>10.246</v>
      </c>
      <c r="W988" s="263">
        <v>10.378</v>
      </c>
      <c r="X988" s="263">
        <v>10.398</v>
      </c>
      <c r="Y988" s="263">
        <v>10.398</v>
      </c>
      <c r="Z988" s="265">
        <f ca="1">[1]ExtEntry!$O95</f>
        <v>10.398</v>
      </c>
      <c r="AB988" s="298">
        <v>53</v>
      </c>
      <c r="AC988" s="298">
        <v>50</v>
      </c>
      <c r="AD988" s="298">
        <v>50</v>
      </c>
      <c r="AE988" s="298">
        <v>38</v>
      </c>
      <c r="AF988" s="298">
        <v>37</v>
      </c>
      <c r="AG988" s="298">
        <v>34</v>
      </c>
      <c r="AH988" s="298">
        <v>44</v>
      </c>
      <c r="AI988" s="298">
        <v>39</v>
      </c>
      <c r="AJ988" s="298">
        <v>44</v>
      </c>
      <c r="AK988" s="298">
        <v>47</v>
      </c>
      <c r="AL988" s="298">
        <v>45</v>
      </c>
      <c r="AM988" s="298">
        <v>43</v>
      </c>
      <c r="AN988" s="298">
        <v>43</v>
      </c>
      <c r="AO988" s="298">
        <v>43</v>
      </c>
      <c r="AP988" s="298">
        <v>54</v>
      </c>
      <c r="AQ988" s="298">
        <v>66</v>
      </c>
      <c r="AR988" s="298">
        <v>64</v>
      </c>
      <c r="AS988" s="298">
        <v>68</v>
      </c>
      <c r="AT988" s="298">
        <v>68</v>
      </c>
      <c r="AU988" s="298">
        <v>63</v>
      </c>
      <c r="AV988" s="298">
        <f t="shared" si="67"/>
        <v>63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45887</v>
      </c>
      <c r="G993" s="128">
        <f t="shared" si="70"/>
        <v>45888</v>
      </c>
      <c r="H993" s="128">
        <f t="shared" si="70"/>
        <v>45889</v>
      </c>
      <c r="I993" s="128">
        <f t="shared" si="70"/>
        <v>45890</v>
      </c>
      <c r="J993" s="128">
        <f t="shared" si="70"/>
        <v>45891</v>
      </c>
      <c r="K993" s="128">
        <f t="shared" si="70"/>
        <v>45894</v>
      </c>
      <c r="L993" s="128">
        <f t="shared" si="70"/>
        <v>45895</v>
      </c>
      <c r="M993" s="128">
        <f t="shared" si="70"/>
        <v>45896</v>
      </c>
      <c r="N993" s="128">
        <f t="shared" si="70"/>
        <v>45897</v>
      </c>
      <c r="O993" s="128">
        <f t="shared" si="70"/>
        <v>45898</v>
      </c>
      <c r="P993" s="128">
        <f t="shared" si="70"/>
        <v>45901</v>
      </c>
      <c r="Q993" s="128">
        <f t="shared" si="70"/>
        <v>45902</v>
      </c>
      <c r="R993" s="128">
        <f t="shared" si="70"/>
        <v>45903</v>
      </c>
      <c r="S993" s="128">
        <f t="shared" si="70"/>
        <v>45904</v>
      </c>
      <c r="T993" s="128">
        <f t="shared" si="70"/>
        <v>45905</v>
      </c>
      <c r="U993" s="128">
        <f t="shared" si="70"/>
        <v>45908</v>
      </c>
      <c r="V993" s="128">
        <f t="shared" si="70"/>
        <v>45909</v>
      </c>
      <c r="W993" s="128">
        <f t="shared" si="70"/>
        <v>45910</v>
      </c>
      <c r="X993" s="128">
        <f t="shared" si="70"/>
        <v>45911</v>
      </c>
      <c r="Y993" s="128">
        <f t="shared" si="70"/>
        <v>45912</v>
      </c>
      <c r="Z993" s="128">
        <f t="shared" ca="1" si="70"/>
        <v>45912</v>
      </c>
      <c r="AB993" s="128">
        <f t="shared" ref="AB993:AV993" si="71">F894</f>
        <v>45887</v>
      </c>
      <c r="AC993" s="128">
        <f t="shared" si="71"/>
        <v>45888</v>
      </c>
      <c r="AD993" s="128">
        <f t="shared" si="71"/>
        <v>45889</v>
      </c>
      <c r="AE993" s="128">
        <f t="shared" si="71"/>
        <v>45890</v>
      </c>
      <c r="AF993" s="128">
        <f t="shared" si="71"/>
        <v>45891</v>
      </c>
      <c r="AG993" s="128">
        <f t="shared" si="71"/>
        <v>45894</v>
      </c>
      <c r="AH993" s="128">
        <f t="shared" si="71"/>
        <v>45895</v>
      </c>
      <c r="AI993" s="128">
        <f t="shared" si="71"/>
        <v>45896</v>
      </c>
      <c r="AJ993" s="128">
        <f t="shared" si="71"/>
        <v>45897</v>
      </c>
      <c r="AK993" s="128">
        <f t="shared" si="71"/>
        <v>45898</v>
      </c>
      <c r="AL993" s="128">
        <f t="shared" si="71"/>
        <v>45901</v>
      </c>
      <c r="AM993" s="128">
        <f t="shared" si="71"/>
        <v>45902</v>
      </c>
      <c r="AN993" s="128">
        <f t="shared" si="71"/>
        <v>45903</v>
      </c>
      <c r="AO993" s="128">
        <f t="shared" si="71"/>
        <v>45904</v>
      </c>
      <c r="AP993" s="128">
        <f t="shared" si="71"/>
        <v>45905</v>
      </c>
      <c r="AQ993" s="128">
        <f t="shared" si="71"/>
        <v>45908</v>
      </c>
      <c r="AR993" s="128">
        <f t="shared" si="71"/>
        <v>45909</v>
      </c>
      <c r="AS993" s="128">
        <f t="shared" si="71"/>
        <v>45910</v>
      </c>
      <c r="AT993" s="128">
        <f t="shared" si="71"/>
        <v>45911</v>
      </c>
      <c r="AU993" s="128">
        <f t="shared" si="71"/>
        <v>45912</v>
      </c>
      <c r="AV993" s="128">
        <f t="shared" ca="1" si="71"/>
        <v>45912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27705747</v>
      </c>
      <c r="G995" s="267">
        <v>16696936</v>
      </c>
      <c r="H995" s="267">
        <v>10220867</v>
      </c>
      <c r="I995" s="267">
        <v>26252307</v>
      </c>
      <c r="J995" s="267">
        <v>26252307</v>
      </c>
      <c r="K995" s="267">
        <v>42158760</v>
      </c>
      <c r="L995" s="267">
        <v>30957380</v>
      </c>
      <c r="M995" s="267">
        <v>54487304</v>
      </c>
      <c r="N995" s="267">
        <v>30141788</v>
      </c>
      <c r="O995" s="267">
        <v>10181106</v>
      </c>
      <c r="P995" s="267">
        <v>39418437</v>
      </c>
      <c r="Q995" s="267">
        <v>15908005</v>
      </c>
      <c r="R995" s="267">
        <v>17933045</v>
      </c>
      <c r="S995" s="267">
        <v>134848</v>
      </c>
      <c r="T995" s="267">
        <v>2343046</v>
      </c>
      <c r="U995" s="267">
        <v>48825735</v>
      </c>
      <c r="V995" s="267">
        <v>65440386</v>
      </c>
      <c r="W995" s="267">
        <v>83297346</v>
      </c>
      <c r="X995" s="267">
        <v>40542667</v>
      </c>
      <c r="Y995" s="267">
        <v>55248262</v>
      </c>
      <c r="Z995" s="267">
        <f ca="1">[1]ExtEntry!$P3</f>
        <v>55248262</v>
      </c>
      <c r="AB995" s="269">
        <v>37</v>
      </c>
      <c r="AC995" s="269">
        <v>29</v>
      </c>
      <c r="AD995" s="269">
        <v>29</v>
      </c>
      <c r="AE995" s="271">
        <v>29</v>
      </c>
      <c r="AF995" s="271">
        <v>28</v>
      </c>
      <c r="AG995" s="271">
        <v>23</v>
      </c>
      <c r="AH995" s="271">
        <v>24</v>
      </c>
      <c r="AI995" s="271">
        <v>31</v>
      </c>
      <c r="AJ995" s="271">
        <v>40</v>
      </c>
      <c r="AK995" s="271">
        <v>52</v>
      </c>
      <c r="AL995" s="271">
        <v>46</v>
      </c>
      <c r="AM995" s="271">
        <v>38</v>
      </c>
      <c r="AN995" s="271">
        <v>38</v>
      </c>
      <c r="AO995" s="298">
        <v>48</v>
      </c>
      <c r="AP995" s="298">
        <v>60</v>
      </c>
      <c r="AQ995" s="298">
        <v>59</v>
      </c>
      <c r="AR995" s="298">
        <v>54</v>
      </c>
      <c r="AS995" s="298">
        <v>46</v>
      </c>
      <c r="AT995" s="298">
        <v>51</v>
      </c>
      <c r="AU995" s="298">
        <v>60</v>
      </c>
      <c r="AV995" s="298">
        <f t="shared" ref="AV995:AV1026" si="72">INT(100-100/(1+(19*SUMIF(L599:Y599,"&gt;0",L599:Y599)+IF(Y599&gt;0,Y599,0))/ABS(19*SUMIF(L599:Y599,"&lt;0",L599:Y599)+IF(Y599&lt;0,Y599,0))))</f>
        <v>60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134031</v>
      </c>
      <c r="G996" s="275">
        <v>78968</v>
      </c>
      <c r="H996" s="275">
        <v>43144</v>
      </c>
      <c r="I996" s="275">
        <v>299391</v>
      </c>
      <c r="J996" s="275">
        <v>299391</v>
      </c>
      <c r="K996" s="275">
        <v>333368</v>
      </c>
      <c r="L996" s="275">
        <v>520027</v>
      </c>
      <c r="M996" s="275">
        <v>747031</v>
      </c>
      <c r="N996" s="275">
        <v>471238</v>
      </c>
      <c r="O996" s="275">
        <v>48357</v>
      </c>
      <c r="P996" s="275">
        <v>679960</v>
      </c>
      <c r="Q996" s="275">
        <v>156789</v>
      </c>
      <c r="R996" s="275">
        <v>24815</v>
      </c>
      <c r="S996" s="275">
        <v>358415</v>
      </c>
      <c r="T996" s="275">
        <v>346123</v>
      </c>
      <c r="U996" s="275">
        <v>414122</v>
      </c>
      <c r="V996" s="275">
        <v>468859</v>
      </c>
      <c r="W996" s="275">
        <v>397725</v>
      </c>
      <c r="X996" s="275">
        <v>300020</v>
      </c>
      <c r="Y996" s="275">
        <v>529104</v>
      </c>
      <c r="Z996" s="275">
        <f ca="1">[1]ExtEntry!$P4</f>
        <v>529104</v>
      </c>
      <c r="AB996" s="298">
        <v>43</v>
      </c>
      <c r="AC996" s="298">
        <v>36</v>
      </c>
      <c r="AD996" s="298">
        <v>36</v>
      </c>
      <c r="AE996" s="271">
        <v>36</v>
      </c>
      <c r="AF996" s="271">
        <v>35</v>
      </c>
      <c r="AG996" s="271">
        <v>31</v>
      </c>
      <c r="AH996" s="271">
        <v>31</v>
      </c>
      <c r="AI996" s="271">
        <v>30</v>
      </c>
      <c r="AJ996" s="271">
        <v>39</v>
      </c>
      <c r="AK996" s="271">
        <v>45</v>
      </c>
      <c r="AL996" s="271">
        <v>38</v>
      </c>
      <c r="AM996" s="271">
        <v>34</v>
      </c>
      <c r="AN996" s="271">
        <v>34</v>
      </c>
      <c r="AO996" s="298">
        <v>20</v>
      </c>
      <c r="AP996" s="298">
        <v>30</v>
      </c>
      <c r="AQ996" s="298">
        <v>30</v>
      </c>
      <c r="AR996" s="298">
        <v>29</v>
      </c>
      <c r="AS996" s="298">
        <v>30</v>
      </c>
      <c r="AT996" s="298">
        <v>47</v>
      </c>
      <c r="AU996" s="298">
        <v>51</v>
      </c>
      <c r="AV996" s="298">
        <f t="shared" si="72"/>
        <v>51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506127</v>
      </c>
      <c r="G997" s="267">
        <v>162571</v>
      </c>
      <c r="H997" s="267">
        <v>441343</v>
      </c>
      <c r="I997" s="267">
        <v>529449</v>
      </c>
      <c r="J997" s="267">
        <v>529449</v>
      </c>
      <c r="K997" s="267">
        <v>574580</v>
      </c>
      <c r="L997" s="267">
        <v>270875</v>
      </c>
      <c r="M997" s="267">
        <v>368275</v>
      </c>
      <c r="N997" s="267">
        <v>88909</v>
      </c>
      <c r="O997" s="267">
        <v>173988</v>
      </c>
      <c r="P997" s="267">
        <v>279274</v>
      </c>
      <c r="Q997" s="267">
        <v>836422</v>
      </c>
      <c r="R997" s="267">
        <v>774160</v>
      </c>
      <c r="S997" s="267">
        <v>251203</v>
      </c>
      <c r="T997" s="267">
        <v>642941</v>
      </c>
      <c r="U997" s="267">
        <v>1322508</v>
      </c>
      <c r="V997" s="267">
        <v>1071492</v>
      </c>
      <c r="W997" s="267">
        <v>944564</v>
      </c>
      <c r="X997" s="267">
        <v>668482</v>
      </c>
      <c r="Y997" s="267">
        <v>696360</v>
      </c>
      <c r="Z997" s="267">
        <f ca="1">[1]ExtEntry!$P5</f>
        <v>696360</v>
      </c>
      <c r="AB997" s="298">
        <v>30</v>
      </c>
      <c r="AC997" s="298">
        <v>23</v>
      </c>
      <c r="AD997" s="298">
        <v>23</v>
      </c>
      <c r="AE997" s="271">
        <v>30</v>
      </c>
      <c r="AF997" s="271">
        <v>35</v>
      </c>
      <c r="AG997" s="271">
        <v>34</v>
      </c>
      <c r="AH997" s="271">
        <v>34</v>
      </c>
      <c r="AI997" s="271">
        <v>39</v>
      </c>
      <c r="AJ997" s="271">
        <v>39</v>
      </c>
      <c r="AK997" s="271">
        <v>42</v>
      </c>
      <c r="AL997" s="271">
        <v>56</v>
      </c>
      <c r="AM997" s="271">
        <v>62</v>
      </c>
      <c r="AN997" s="271">
        <v>62</v>
      </c>
      <c r="AO997" s="298">
        <v>55</v>
      </c>
      <c r="AP997" s="298">
        <v>52</v>
      </c>
      <c r="AQ997" s="298">
        <v>61</v>
      </c>
      <c r="AR997" s="298">
        <v>52</v>
      </c>
      <c r="AS997" s="298">
        <v>38</v>
      </c>
      <c r="AT997" s="298">
        <v>39</v>
      </c>
      <c r="AU997" s="298">
        <v>43</v>
      </c>
      <c r="AV997" s="298">
        <f t="shared" si="72"/>
        <v>43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31714837</v>
      </c>
      <c r="G998" s="275">
        <v>17684024</v>
      </c>
      <c r="H998" s="275">
        <v>7069939</v>
      </c>
      <c r="I998" s="275">
        <v>20291616</v>
      </c>
      <c r="J998" s="275">
        <v>20291616</v>
      </c>
      <c r="K998" s="275">
        <v>36506743</v>
      </c>
      <c r="L998" s="275">
        <v>22588742</v>
      </c>
      <c r="M998" s="275">
        <v>26037456</v>
      </c>
      <c r="N998" s="275">
        <v>21182142</v>
      </c>
      <c r="O998" s="275">
        <v>10202900</v>
      </c>
      <c r="P998" s="275">
        <v>26199170</v>
      </c>
      <c r="Q998" s="275">
        <v>16062750</v>
      </c>
      <c r="R998" s="275">
        <v>6010178</v>
      </c>
      <c r="S998" s="275">
        <v>179014</v>
      </c>
      <c r="T998" s="275">
        <v>503275</v>
      </c>
      <c r="U998" s="275">
        <v>33908298</v>
      </c>
      <c r="V998" s="275">
        <v>26811949</v>
      </c>
      <c r="W998" s="275">
        <v>60800236</v>
      </c>
      <c r="X998" s="275">
        <v>29051871</v>
      </c>
      <c r="Y998" s="275">
        <v>38335202</v>
      </c>
      <c r="Z998" s="275">
        <f ca="1">[1]ExtEntry!$P6</f>
        <v>38335202</v>
      </c>
      <c r="AB998" s="298">
        <v>34</v>
      </c>
      <c r="AC998" s="298">
        <v>37</v>
      </c>
      <c r="AD998" s="298">
        <v>37</v>
      </c>
      <c r="AE998" s="271">
        <v>29</v>
      </c>
      <c r="AF998" s="271">
        <v>28</v>
      </c>
      <c r="AG998" s="271">
        <v>25</v>
      </c>
      <c r="AH998" s="271">
        <v>25</v>
      </c>
      <c r="AI998" s="271">
        <v>21</v>
      </c>
      <c r="AJ998" s="271">
        <v>31</v>
      </c>
      <c r="AK998" s="271">
        <v>57</v>
      </c>
      <c r="AL998" s="271">
        <v>50</v>
      </c>
      <c r="AM998" s="271">
        <v>38</v>
      </c>
      <c r="AN998" s="271">
        <v>38</v>
      </c>
      <c r="AO998" s="298">
        <v>39</v>
      </c>
      <c r="AP998" s="298">
        <v>41</v>
      </c>
      <c r="AQ998" s="298">
        <v>45</v>
      </c>
      <c r="AR998" s="298">
        <v>49</v>
      </c>
      <c r="AS998" s="298">
        <v>44</v>
      </c>
      <c r="AT998" s="298">
        <v>48</v>
      </c>
      <c r="AU998" s="298">
        <v>51</v>
      </c>
      <c r="AV998" s="298">
        <f t="shared" si="72"/>
        <v>51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1146</v>
      </c>
      <c r="G999" s="267">
        <v>2670</v>
      </c>
      <c r="H999" s="267">
        <v>2631</v>
      </c>
      <c r="I999" s="267">
        <v>9317</v>
      </c>
      <c r="J999" s="267">
        <v>9317</v>
      </c>
      <c r="K999" s="267">
        <v>6046</v>
      </c>
      <c r="L999" s="267">
        <v>2770</v>
      </c>
      <c r="M999" s="267">
        <v>2640</v>
      </c>
      <c r="N999" s="267">
        <v>3014</v>
      </c>
      <c r="O999" s="267">
        <v>1271</v>
      </c>
      <c r="P999" s="267">
        <v>8412</v>
      </c>
      <c r="Q999" s="267">
        <v>4325</v>
      </c>
      <c r="R999" s="267">
        <v>5080</v>
      </c>
      <c r="S999" s="267">
        <v>621</v>
      </c>
      <c r="T999" s="267">
        <v>1</v>
      </c>
      <c r="U999" s="267">
        <v>1964</v>
      </c>
      <c r="V999" s="267">
        <v>3956</v>
      </c>
      <c r="W999" s="267">
        <v>9336</v>
      </c>
      <c r="X999" s="267">
        <v>6003</v>
      </c>
      <c r="Y999" s="267">
        <v>117</v>
      </c>
      <c r="Z999" s="267">
        <f ca="1">[1]ExtEntry!$P7</f>
        <v>117</v>
      </c>
      <c r="AB999" s="298">
        <v>43</v>
      </c>
      <c r="AC999" s="298">
        <v>43</v>
      </c>
      <c r="AD999" s="298">
        <v>43</v>
      </c>
      <c r="AE999" s="271">
        <v>41</v>
      </c>
      <c r="AF999" s="271">
        <v>33</v>
      </c>
      <c r="AG999" s="271">
        <v>28</v>
      </c>
      <c r="AH999" s="271">
        <v>26</v>
      </c>
      <c r="AI999" s="271">
        <v>24</v>
      </c>
      <c r="AJ999" s="271">
        <v>31</v>
      </c>
      <c r="AK999" s="271">
        <v>36</v>
      </c>
      <c r="AL999" s="271">
        <v>29</v>
      </c>
      <c r="AM999" s="271">
        <v>28</v>
      </c>
      <c r="AN999" s="271">
        <v>28</v>
      </c>
      <c r="AO999" s="298">
        <v>22</v>
      </c>
      <c r="AP999" s="298">
        <v>28</v>
      </c>
      <c r="AQ999" s="298">
        <v>27</v>
      </c>
      <c r="AR999" s="298">
        <v>31</v>
      </c>
      <c r="AS999" s="298">
        <v>35</v>
      </c>
      <c r="AT999" s="298">
        <v>34</v>
      </c>
      <c r="AU999" s="298">
        <v>36</v>
      </c>
      <c r="AV999" s="298">
        <f t="shared" si="72"/>
        <v>36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400595</v>
      </c>
      <c r="G1000" s="275">
        <v>397884</v>
      </c>
      <c r="H1000" s="275">
        <v>136869</v>
      </c>
      <c r="I1000" s="275">
        <v>393250</v>
      </c>
      <c r="J1000" s="275">
        <v>393250</v>
      </c>
      <c r="K1000" s="275">
        <v>488569</v>
      </c>
      <c r="L1000" s="275">
        <v>270960</v>
      </c>
      <c r="M1000" s="275">
        <v>695402</v>
      </c>
      <c r="N1000" s="275">
        <v>547870</v>
      </c>
      <c r="O1000" s="275">
        <v>321404</v>
      </c>
      <c r="P1000" s="275">
        <v>159405</v>
      </c>
      <c r="Q1000" s="275">
        <v>440035</v>
      </c>
      <c r="R1000" s="275">
        <v>233229</v>
      </c>
      <c r="S1000" s="275">
        <v>109958</v>
      </c>
      <c r="T1000" s="275">
        <v>287048</v>
      </c>
      <c r="U1000" s="275">
        <v>514335</v>
      </c>
      <c r="V1000" s="275">
        <v>498214</v>
      </c>
      <c r="W1000" s="275">
        <v>548022</v>
      </c>
      <c r="X1000" s="275">
        <v>502503</v>
      </c>
      <c r="Y1000" s="275">
        <v>440502</v>
      </c>
      <c r="Z1000" s="275">
        <f ca="1">[1]ExtEntry!$P8</f>
        <v>440502</v>
      </c>
      <c r="AB1000" s="298">
        <v>47</v>
      </c>
      <c r="AC1000" s="298">
        <v>49</v>
      </c>
      <c r="AD1000" s="298">
        <v>49</v>
      </c>
      <c r="AE1000" s="271">
        <v>43</v>
      </c>
      <c r="AF1000" s="271">
        <v>49</v>
      </c>
      <c r="AG1000" s="271">
        <v>34</v>
      </c>
      <c r="AH1000" s="271">
        <v>31</v>
      </c>
      <c r="AI1000" s="271">
        <v>40</v>
      </c>
      <c r="AJ1000" s="271">
        <v>56</v>
      </c>
      <c r="AK1000" s="271">
        <v>66</v>
      </c>
      <c r="AL1000" s="271">
        <v>61</v>
      </c>
      <c r="AM1000" s="271">
        <v>49</v>
      </c>
      <c r="AN1000" s="271">
        <v>49</v>
      </c>
      <c r="AO1000" s="271">
        <v>54</v>
      </c>
      <c r="AP1000" s="298">
        <v>61</v>
      </c>
      <c r="AQ1000" s="298">
        <v>70</v>
      </c>
      <c r="AR1000" s="298">
        <v>73</v>
      </c>
      <c r="AS1000" s="298">
        <v>69</v>
      </c>
      <c r="AT1000" s="298">
        <v>70</v>
      </c>
      <c r="AU1000" s="298">
        <v>74</v>
      </c>
      <c r="AV1000" s="298">
        <f t="shared" si="72"/>
        <v>74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3147704</v>
      </c>
      <c r="G1001" s="275">
        <v>1425015</v>
      </c>
      <c r="H1001" s="275">
        <v>671835</v>
      </c>
      <c r="I1001" s="275">
        <v>2377426</v>
      </c>
      <c r="J1001" s="275">
        <v>2377426</v>
      </c>
      <c r="K1001" s="275">
        <v>3571725</v>
      </c>
      <c r="L1001" s="275">
        <v>3376178</v>
      </c>
      <c r="M1001" s="275">
        <v>5328553</v>
      </c>
      <c r="N1001" s="275">
        <v>4856563</v>
      </c>
      <c r="O1001" s="275">
        <v>1085010</v>
      </c>
      <c r="P1001" s="275">
        <v>2824761</v>
      </c>
      <c r="Q1001" s="275">
        <v>1250643</v>
      </c>
      <c r="R1001" s="275">
        <v>714533</v>
      </c>
      <c r="S1001" s="275">
        <v>39932</v>
      </c>
      <c r="T1001" s="275">
        <v>16277</v>
      </c>
      <c r="U1001" s="275">
        <v>2623953</v>
      </c>
      <c r="V1001" s="275">
        <v>2356938</v>
      </c>
      <c r="W1001" s="275">
        <v>2112462</v>
      </c>
      <c r="X1001" s="275">
        <v>2092844</v>
      </c>
      <c r="Y1001" s="275">
        <v>4491003</v>
      </c>
      <c r="Z1001" s="275">
        <f ca="1">[1]ExtEntry!$P9</f>
        <v>4491003</v>
      </c>
      <c r="AB1001" s="298">
        <v>69</v>
      </c>
      <c r="AC1001" s="298">
        <v>65</v>
      </c>
      <c r="AD1001" s="298">
        <v>65</v>
      </c>
      <c r="AE1001" s="271">
        <v>60</v>
      </c>
      <c r="AF1001" s="271">
        <v>65</v>
      </c>
      <c r="AG1001" s="271">
        <v>71</v>
      </c>
      <c r="AH1001" s="271">
        <v>58</v>
      </c>
      <c r="AI1001" s="271">
        <v>80</v>
      </c>
      <c r="AJ1001" s="271">
        <v>78</v>
      </c>
      <c r="AK1001" s="271">
        <v>73</v>
      </c>
      <c r="AL1001" s="271">
        <v>77</v>
      </c>
      <c r="AM1001" s="271">
        <v>74</v>
      </c>
      <c r="AN1001" s="271">
        <v>74</v>
      </c>
      <c r="AO1001" s="298">
        <v>75</v>
      </c>
      <c r="AP1001" s="298">
        <v>71</v>
      </c>
      <c r="AQ1001" s="298">
        <v>69</v>
      </c>
      <c r="AR1001" s="298">
        <v>65</v>
      </c>
      <c r="AS1001" s="298">
        <v>60</v>
      </c>
      <c r="AT1001" s="298">
        <v>60</v>
      </c>
      <c r="AU1001" s="298">
        <v>45</v>
      </c>
      <c r="AV1001" s="298">
        <f t="shared" si="72"/>
        <v>45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1335617</v>
      </c>
      <c r="G1002" s="275">
        <v>1421860</v>
      </c>
      <c r="H1002" s="275">
        <v>1675307</v>
      </c>
      <c r="I1002" s="275">
        <v>2756227</v>
      </c>
      <c r="J1002" s="275">
        <v>2756227</v>
      </c>
      <c r="K1002" s="275">
        <v>3329668</v>
      </c>
      <c r="L1002" s="275">
        <v>3170097</v>
      </c>
      <c r="M1002" s="275">
        <v>3445466</v>
      </c>
      <c r="N1002" s="275">
        <v>2305910</v>
      </c>
      <c r="O1002" s="275">
        <v>442340</v>
      </c>
      <c r="P1002" s="275">
        <v>3268251</v>
      </c>
      <c r="Q1002" s="275">
        <v>1829602</v>
      </c>
      <c r="R1002" s="275">
        <v>614295</v>
      </c>
      <c r="S1002" s="275">
        <v>18889</v>
      </c>
      <c r="T1002" s="275">
        <v>35272</v>
      </c>
      <c r="U1002" s="275">
        <v>3348593</v>
      </c>
      <c r="V1002" s="275">
        <v>2615230</v>
      </c>
      <c r="W1002" s="275">
        <v>6784033</v>
      </c>
      <c r="X1002" s="275">
        <v>4940166</v>
      </c>
      <c r="Y1002" s="275">
        <v>3912073</v>
      </c>
      <c r="Z1002" s="275">
        <f ca="1">[1]ExtEntry!$P10</f>
        <v>3912073</v>
      </c>
      <c r="AB1002" s="298">
        <v>55</v>
      </c>
      <c r="AC1002" s="298">
        <v>49</v>
      </c>
      <c r="AD1002" s="298">
        <v>49</v>
      </c>
      <c r="AE1002" s="271">
        <v>39</v>
      </c>
      <c r="AF1002" s="271">
        <v>34</v>
      </c>
      <c r="AG1002" s="271">
        <v>37</v>
      </c>
      <c r="AH1002" s="271">
        <v>39</v>
      </c>
      <c r="AI1002" s="271">
        <v>43</v>
      </c>
      <c r="AJ1002" s="271">
        <v>42</v>
      </c>
      <c r="AK1002" s="271">
        <v>47</v>
      </c>
      <c r="AL1002" s="271">
        <v>42</v>
      </c>
      <c r="AM1002" s="271">
        <v>33</v>
      </c>
      <c r="AN1002" s="271">
        <v>33</v>
      </c>
      <c r="AO1002" s="298">
        <v>40</v>
      </c>
      <c r="AP1002" s="298">
        <v>33</v>
      </c>
      <c r="AQ1002" s="298">
        <v>25</v>
      </c>
      <c r="AR1002" s="298">
        <v>24</v>
      </c>
      <c r="AS1002" s="298">
        <v>31</v>
      </c>
      <c r="AT1002" s="298">
        <v>44</v>
      </c>
      <c r="AU1002" s="298">
        <v>48</v>
      </c>
      <c r="AV1002" s="298">
        <f t="shared" si="72"/>
        <v>48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38057473</v>
      </c>
      <c r="G1003" s="275">
        <v>501234</v>
      </c>
      <c r="H1003" s="275">
        <v>56044</v>
      </c>
      <c r="I1003" s="275">
        <v>151844</v>
      </c>
      <c r="J1003" s="275">
        <v>151844</v>
      </c>
      <c r="K1003" s="275">
        <v>151874</v>
      </c>
      <c r="L1003" s="275">
        <v>45806</v>
      </c>
      <c r="M1003" s="275">
        <v>48543</v>
      </c>
      <c r="N1003" s="275">
        <v>47729</v>
      </c>
      <c r="O1003" s="275">
        <v>8117</v>
      </c>
      <c r="P1003" s="275">
        <v>77308</v>
      </c>
      <c r="Q1003" s="275">
        <v>18108</v>
      </c>
      <c r="R1003" s="275">
        <v>6195488</v>
      </c>
      <c r="S1003" s="275">
        <v>12650</v>
      </c>
      <c r="T1003" s="275">
        <v>3420</v>
      </c>
      <c r="U1003" s="275">
        <v>204206</v>
      </c>
      <c r="V1003" s="275">
        <v>396679</v>
      </c>
      <c r="W1003" s="275">
        <v>43585</v>
      </c>
      <c r="X1003" s="275">
        <v>38171</v>
      </c>
      <c r="Y1003" s="275">
        <v>20360</v>
      </c>
      <c r="Z1003" s="275">
        <f ca="1">[1]ExtEntry!$P11</f>
        <v>20360</v>
      </c>
      <c r="AB1003" s="298">
        <v>49</v>
      </c>
      <c r="AC1003" s="298">
        <v>52</v>
      </c>
      <c r="AD1003" s="298">
        <v>52</v>
      </c>
      <c r="AE1003" s="271">
        <v>40</v>
      </c>
      <c r="AF1003" s="271">
        <v>45</v>
      </c>
      <c r="AG1003" s="271">
        <v>58</v>
      </c>
      <c r="AH1003" s="271">
        <v>54</v>
      </c>
      <c r="AI1003" s="271">
        <v>58</v>
      </c>
      <c r="AJ1003" s="271">
        <v>54</v>
      </c>
      <c r="AK1003" s="271">
        <v>57</v>
      </c>
      <c r="AL1003" s="271">
        <v>54</v>
      </c>
      <c r="AM1003" s="271">
        <v>49</v>
      </c>
      <c r="AN1003" s="271">
        <v>49</v>
      </c>
      <c r="AO1003" s="298">
        <v>47</v>
      </c>
      <c r="AP1003" s="298">
        <v>22</v>
      </c>
      <c r="AQ1003" s="298">
        <v>38</v>
      </c>
      <c r="AR1003" s="298">
        <v>39</v>
      </c>
      <c r="AS1003" s="298">
        <v>40</v>
      </c>
      <c r="AT1003" s="298">
        <v>43</v>
      </c>
      <c r="AU1003" s="298">
        <v>31</v>
      </c>
      <c r="AV1003" s="298">
        <f t="shared" si="72"/>
        <v>31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5464997</v>
      </c>
      <c r="G1004" s="275">
        <v>3691748</v>
      </c>
      <c r="H1004" s="275">
        <v>1829921</v>
      </c>
      <c r="I1004" s="275">
        <v>7435151</v>
      </c>
      <c r="J1004" s="275">
        <v>7435151</v>
      </c>
      <c r="K1004" s="275">
        <v>13446286</v>
      </c>
      <c r="L1004" s="275">
        <v>8645995</v>
      </c>
      <c r="M1004" s="275">
        <v>11030273</v>
      </c>
      <c r="N1004" s="275">
        <v>11232496</v>
      </c>
      <c r="O1004" s="275">
        <v>2991243</v>
      </c>
      <c r="P1004" s="275">
        <v>8362591</v>
      </c>
      <c r="Q1004" s="275">
        <v>6010863</v>
      </c>
      <c r="R1004" s="275">
        <v>1487202</v>
      </c>
      <c r="S1004" s="275">
        <v>4048</v>
      </c>
      <c r="T1004" s="275">
        <v>38877</v>
      </c>
      <c r="U1004" s="275">
        <v>11395768</v>
      </c>
      <c r="V1004" s="275">
        <v>18033390</v>
      </c>
      <c r="W1004" s="275">
        <v>12237036</v>
      </c>
      <c r="X1004" s="275">
        <v>8911274</v>
      </c>
      <c r="Y1004" s="275">
        <v>9263879</v>
      </c>
      <c r="Z1004" s="275">
        <f ca="1">[1]ExtEntry!$P12</f>
        <v>9263879</v>
      </c>
      <c r="AB1004" s="298">
        <v>53</v>
      </c>
      <c r="AC1004" s="298">
        <v>45</v>
      </c>
      <c r="AD1004" s="298">
        <v>45</v>
      </c>
      <c r="AE1004" s="271">
        <v>39</v>
      </c>
      <c r="AF1004" s="271">
        <v>34</v>
      </c>
      <c r="AG1004" s="271">
        <v>34</v>
      </c>
      <c r="AH1004" s="271">
        <v>28</v>
      </c>
      <c r="AI1004" s="271">
        <v>36</v>
      </c>
      <c r="AJ1004" s="271">
        <v>47</v>
      </c>
      <c r="AK1004" s="271">
        <v>55</v>
      </c>
      <c r="AL1004" s="271">
        <v>51</v>
      </c>
      <c r="AM1004" s="271">
        <v>41</v>
      </c>
      <c r="AN1004" s="271">
        <v>41</v>
      </c>
      <c r="AO1004" s="298">
        <v>22</v>
      </c>
      <c r="AP1004" s="298">
        <v>40</v>
      </c>
      <c r="AQ1004" s="298">
        <v>47</v>
      </c>
      <c r="AR1004" s="298">
        <v>53</v>
      </c>
      <c r="AS1004" s="298">
        <v>55</v>
      </c>
      <c r="AT1004" s="298">
        <v>65</v>
      </c>
      <c r="AU1004" s="298">
        <v>70</v>
      </c>
      <c r="AV1004" s="298">
        <f t="shared" si="72"/>
        <v>70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25325166</v>
      </c>
      <c r="G1005" s="275">
        <v>12259694</v>
      </c>
      <c r="H1005" s="275">
        <v>4383991</v>
      </c>
      <c r="I1005" s="275">
        <v>12328512</v>
      </c>
      <c r="J1005" s="275">
        <v>12328512</v>
      </c>
      <c r="K1005" s="275">
        <v>14939540</v>
      </c>
      <c r="L1005" s="275">
        <v>11511490</v>
      </c>
      <c r="M1005" s="275">
        <v>28297042</v>
      </c>
      <c r="N1005" s="275">
        <v>13813859</v>
      </c>
      <c r="O1005" s="275">
        <v>3522513</v>
      </c>
      <c r="P1005" s="275">
        <v>14952966</v>
      </c>
      <c r="Q1005" s="275">
        <v>6412119</v>
      </c>
      <c r="R1005" s="275">
        <v>2214754</v>
      </c>
      <c r="S1005" s="275">
        <v>1350</v>
      </c>
      <c r="T1005" s="275">
        <v>910232</v>
      </c>
      <c r="U1005" s="275">
        <v>14021226</v>
      </c>
      <c r="V1005" s="275">
        <v>11629681</v>
      </c>
      <c r="W1005" s="275">
        <v>14682376</v>
      </c>
      <c r="X1005" s="275">
        <v>12240044</v>
      </c>
      <c r="Y1005" s="275">
        <v>18347350</v>
      </c>
      <c r="Z1005" s="275">
        <f ca="1">[1]ExtEntry!$P13</f>
        <v>18347350</v>
      </c>
      <c r="AB1005" s="298">
        <v>40</v>
      </c>
      <c r="AC1005" s="298">
        <v>24</v>
      </c>
      <c r="AD1005" s="298">
        <v>24</v>
      </c>
      <c r="AE1005" s="271">
        <v>23</v>
      </c>
      <c r="AF1005" s="271">
        <v>20</v>
      </c>
      <c r="AG1005" s="271">
        <v>25</v>
      </c>
      <c r="AH1005" s="271">
        <v>22</v>
      </c>
      <c r="AI1005" s="271">
        <v>32</v>
      </c>
      <c r="AJ1005" s="271">
        <v>35</v>
      </c>
      <c r="AK1005" s="271">
        <v>41</v>
      </c>
      <c r="AL1005" s="271">
        <v>34</v>
      </c>
      <c r="AM1005" s="271">
        <v>33</v>
      </c>
      <c r="AN1005" s="271">
        <v>33</v>
      </c>
      <c r="AO1005" s="298">
        <v>26</v>
      </c>
      <c r="AP1005" s="298">
        <v>36</v>
      </c>
      <c r="AQ1005" s="298">
        <v>53</v>
      </c>
      <c r="AR1005" s="298">
        <v>55</v>
      </c>
      <c r="AS1005" s="298">
        <v>62</v>
      </c>
      <c r="AT1005" s="298">
        <v>58</v>
      </c>
      <c r="AU1005" s="298">
        <v>46</v>
      </c>
      <c r="AV1005" s="298">
        <f t="shared" si="72"/>
        <v>46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2270191</v>
      </c>
      <c r="G1006" s="275">
        <v>3189020</v>
      </c>
      <c r="H1006" s="275">
        <v>2281072</v>
      </c>
      <c r="I1006" s="275">
        <v>3340864</v>
      </c>
      <c r="J1006" s="275">
        <v>3340864</v>
      </c>
      <c r="K1006" s="275">
        <v>4979574</v>
      </c>
      <c r="L1006" s="275">
        <v>4665750</v>
      </c>
      <c r="M1006" s="275">
        <v>5332052</v>
      </c>
      <c r="N1006" s="275">
        <v>3585707</v>
      </c>
      <c r="O1006" s="275">
        <v>1179655</v>
      </c>
      <c r="P1006" s="275">
        <v>6394440</v>
      </c>
      <c r="Q1006" s="275">
        <v>2819511</v>
      </c>
      <c r="R1006" s="275">
        <v>838145</v>
      </c>
      <c r="S1006" s="275">
        <v>127</v>
      </c>
      <c r="T1006" s="275">
        <v>2732</v>
      </c>
      <c r="U1006" s="275">
        <v>13318463</v>
      </c>
      <c r="V1006" s="275">
        <v>10567356</v>
      </c>
      <c r="W1006" s="275">
        <v>10665643</v>
      </c>
      <c r="X1006" s="275">
        <v>6723845</v>
      </c>
      <c r="Y1006" s="275">
        <v>6400653</v>
      </c>
      <c r="Z1006" s="275">
        <f ca="1">[1]ExtEntry!$P14</f>
        <v>6400653</v>
      </c>
      <c r="AB1006" s="298">
        <v>63</v>
      </c>
      <c r="AC1006" s="298">
        <v>69</v>
      </c>
      <c r="AD1006" s="298">
        <v>69</v>
      </c>
      <c r="AE1006" s="271">
        <v>88</v>
      </c>
      <c r="AF1006" s="271">
        <v>86</v>
      </c>
      <c r="AG1006" s="271">
        <v>93</v>
      </c>
      <c r="AH1006" s="271">
        <v>90</v>
      </c>
      <c r="AI1006" s="271">
        <v>92</v>
      </c>
      <c r="AJ1006" s="271">
        <v>93</v>
      </c>
      <c r="AK1006" s="271">
        <v>90</v>
      </c>
      <c r="AL1006" s="271">
        <v>95</v>
      </c>
      <c r="AM1006" s="271">
        <v>94</v>
      </c>
      <c r="AN1006" s="271">
        <v>94</v>
      </c>
      <c r="AO1006" s="298">
        <v>87</v>
      </c>
      <c r="AP1006" s="298">
        <v>81</v>
      </c>
      <c r="AQ1006" s="298">
        <v>53</v>
      </c>
      <c r="AR1006" s="298">
        <v>51</v>
      </c>
      <c r="AS1006" s="298">
        <v>57</v>
      </c>
      <c r="AT1006" s="298">
        <v>57</v>
      </c>
      <c r="AU1006" s="298">
        <v>59</v>
      </c>
      <c r="AV1006" s="298">
        <f t="shared" si="72"/>
        <v>59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2982640</v>
      </c>
      <c r="G1007" s="275">
        <v>1412290</v>
      </c>
      <c r="H1007" s="275">
        <v>2890636</v>
      </c>
      <c r="I1007" s="275">
        <v>2511416</v>
      </c>
      <c r="J1007" s="275">
        <v>2511416</v>
      </c>
      <c r="K1007" s="275">
        <v>2874234</v>
      </c>
      <c r="L1007" s="275">
        <v>3214368</v>
      </c>
      <c r="M1007" s="275">
        <v>3510679</v>
      </c>
      <c r="N1007" s="275">
        <v>16903911</v>
      </c>
      <c r="O1007" s="275">
        <v>2272490</v>
      </c>
      <c r="P1007" s="275">
        <v>3511918</v>
      </c>
      <c r="Q1007" s="275">
        <v>1203315</v>
      </c>
      <c r="R1007" s="275">
        <v>478443</v>
      </c>
      <c r="S1007" s="275">
        <v>1196</v>
      </c>
      <c r="T1007" s="275">
        <v>17757</v>
      </c>
      <c r="U1007" s="275">
        <v>2287956</v>
      </c>
      <c r="V1007" s="275">
        <v>2077533</v>
      </c>
      <c r="W1007" s="275">
        <v>2657353</v>
      </c>
      <c r="X1007" s="275">
        <v>2785052</v>
      </c>
      <c r="Y1007" s="275">
        <v>1941002</v>
      </c>
      <c r="Z1007" s="275">
        <f ca="1">[1]ExtEntry!$P15</f>
        <v>1941002</v>
      </c>
      <c r="AB1007" s="298">
        <v>66</v>
      </c>
      <c r="AC1007" s="298">
        <v>50</v>
      </c>
      <c r="AD1007" s="298">
        <v>50</v>
      </c>
      <c r="AE1007" s="271">
        <v>46</v>
      </c>
      <c r="AF1007" s="271">
        <v>46</v>
      </c>
      <c r="AG1007" s="271">
        <v>47</v>
      </c>
      <c r="AH1007" s="271">
        <v>50</v>
      </c>
      <c r="AI1007" s="271">
        <v>50</v>
      </c>
      <c r="AJ1007" s="271">
        <v>63</v>
      </c>
      <c r="AK1007" s="271">
        <v>59</v>
      </c>
      <c r="AL1007" s="271">
        <v>55</v>
      </c>
      <c r="AM1007" s="271">
        <v>50</v>
      </c>
      <c r="AN1007" s="271">
        <v>50</v>
      </c>
      <c r="AO1007" s="298">
        <v>31</v>
      </c>
      <c r="AP1007" s="298">
        <v>37</v>
      </c>
      <c r="AQ1007" s="298">
        <v>39</v>
      </c>
      <c r="AR1007" s="298">
        <v>38</v>
      </c>
      <c r="AS1007" s="298">
        <v>43</v>
      </c>
      <c r="AT1007" s="298">
        <v>52</v>
      </c>
      <c r="AU1007" s="298">
        <v>51</v>
      </c>
      <c r="AV1007" s="298">
        <f t="shared" si="72"/>
        <v>51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2917757</v>
      </c>
      <c r="G1008" s="275">
        <v>1757666</v>
      </c>
      <c r="H1008" s="275">
        <v>1366991</v>
      </c>
      <c r="I1008" s="275">
        <v>3212518</v>
      </c>
      <c r="J1008" s="275">
        <v>3212518</v>
      </c>
      <c r="K1008" s="275">
        <v>6869030</v>
      </c>
      <c r="L1008" s="275">
        <v>5420834</v>
      </c>
      <c r="M1008" s="275">
        <v>5779550</v>
      </c>
      <c r="N1008" s="275">
        <v>4374002</v>
      </c>
      <c r="O1008" s="275">
        <v>1386140</v>
      </c>
      <c r="P1008" s="275">
        <v>5212602</v>
      </c>
      <c r="Q1008" s="275">
        <v>2076594</v>
      </c>
      <c r="R1008" s="275">
        <v>893340</v>
      </c>
      <c r="S1008" s="275">
        <v>1652</v>
      </c>
      <c r="T1008" s="275">
        <v>10764</v>
      </c>
      <c r="U1008" s="275">
        <v>6449217</v>
      </c>
      <c r="V1008" s="275">
        <v>5367833</v>
      </c>
      <c r="W1008" s="275">
        <v>7482035</v>
      </c>
      <c r="X1008" s="275">
        <v>7035345</v>
      </c>
      <c r="Y1008" s="275">
        <v>7636351</v>
      </c>
      <c r="Z1008" s="275">
        <f ca="1">[1]ExtEntry!$P16</f>
        <v>7636351</v>
      </c>
      <c r="AB1008" s="298">
        <v>47</v>
      </c>
      <c r="AC1008" s="298">
        <v>42</v>
      </c>
      <c r="AD1008" s="298">
        <v>42</v>
      </c>
      <c r="AE1008" s="271">
        <v>40</v>
      </c>
      <c r="AF1008" s="271">
        <v>40</v>
      </c>
      <c r="AG1008" s="271">
        <v>46</v>
      </c>
      <c r="AH1008" s="271">
        <v>44</v>
      </c>
      <c r="AI1008" s="271">
        <v>45</v>
      </c>
      <c r="AJ1008" s="271">
        <v>56</v>
      </c>
      <c r="AK1008" s="271">
        <v>63</v>
      </c>
      <c r="AL1008" s="271">
        <v>59</v>
      </c>
      <c r="AM1008" s="271">
        <v>55</v>
      </c>
      <c r="AN1008" s="271">
        <v>55</v>
      </c>
      <c r="AO1008" s="298">
        <v>42</v>
      </c>
      <c r="AP1008" s="298">
        <v>38</v>
      </c>
      <c r="AQ1008" s="298">
        <v>42</v>
      </c>
      <c r="AR1008" s="298">
        <v>33</v>
      </c>
      <c r="AS1008" s="298">
        <v>30</v>
      </c>
      <c r="AT1008" s="298">
        <v>38</v>
      </c>
      <c r="AU1008" s="298">
        <v>31</v>
      </c>
      <c r="AV1008" s="298">
        <f t="shared" si="72"/>
        <v>31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1450463</v>
      </c>
      <c r="G1009" s="275">
        <v>544397</v>
      </c>
      <c r="H1009" s="275">
        <v>261300</v>
      </c>
      <c r="I1009" s="275">
        <v>1577912</v>
      </c>
      <c r="J1009" s="275">
        <v>1577912</v>
      </c>
      <c r="K1009" s="275">
        <v>1158360</v>
      </c>
      <c r="L1009" s="275">
        <v>827550</v>
      </c>
      <c r="M1009" s="275">
        <v>3173660</v>
      </c>
      <c r="N1009" s="275">
        <v>1596144</v>
      </c>
      <c r="O1009" s="275">
        <v>532110</v>
      </c>
      <c r="P1009" s="275">
        <v>458862</v>
      </c>
      <c r="Q1009" s="275">
        <v>777310</v>
      </c>
      <c r="R1009" s="275">
        <v>315193</v>
      </c>
      <c r="S1009" s="275">
        <v>284913</v>
      </c>
      <c r="T1009" s="275">
        <v>317470</v>
      </c>
      <c r="U1009" s="275">
        <v>1160764</v>
      </c>
      <c r="V1009" s="275">
        <v>2705461</v>
      </c>
      <c r="W1009" s="275">
        <v>1849027</v>
      </c>
      <c r="X1009" s="275">
        <v>1265347</v>
      </c>
      <c r="Y1009" s="275">
        <v>1486445</v>
      </c>
      <c r="Z1009" s="275">
        <f ca="1">[1]ExtEntry!$P17</f>
        <v>1486445</v>
      </c>
      <c r="AB1009" s="298">
        <v>22</v>
      </c>
      <c r="AC1009" s="298">
        <v>24</v>
      </c>
      <c r="AD1009" s="298">
        <v>24</v>
      </c>
      <c r="AE1009" s="271">
        <v>26</v>
      </c>
      <c r="AF1009" s="271">
        <v>24</v>
      </c>
      <c r="AG1009" s="271">
        <v>28</v>
      </c>
      <c r="AH1009" s="271">
        <v>29</v>
      </c>
      <c r="AI1009" s="271">
        <v>28</v>
      </c>
      <c r="AJ1009" s="271">
        <v>40</v>
      </c>
      <c r="AK1009" s="271">
        <v>52</v>
      </c>
      <c r="AL1009" s="271">
        <v>52</v>
      </c>
      <c r="AM1009" s="271">
        <v>51</v>
      </c>
      <c r="AN1009" s="271">
        <v>51</v>
      </c>
      <c r="AO1009" s="298">
        <v>63</v>
      </c>
      <c r="AP1009" s="298">
        <v>64</v>
      </c>
      <c r="AQ1009" s="298">
        <v>66</v>
      </c>
      <c r="AR1009" s="298">
        <v>74</v>
      </c>
      <c r="AS1009" s="298">
        <v>62</v>
      </c>
      <c r="AT1009" s="298">
        <v>59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160006</v>
      </c>
      <c r="G1010" s="275">
        <v>140719</v>
      </c>
      <c r="H1010" s="275">
        <v>76057</v>
      </c>
      <c r="I1010" s="275">
        <v>363140</v>
      </c>
      <c r="J1010" s="275">
        <v>363140</v>
      </c>
      <c r="K1010" s="275">
        <v>466971</v>
      </c>
      <c r="L1010" s="275">
        <v>561132</v>
      </c>
      <c r="M1010" s="275">
        <v>951923</v>
      </c>
      <c r="N1010" s="275">
        <v>506657</v>
      </c>
      <c r="O1010" s="275">
        <v>181239</v>
      </c>
      <c r="P1010" s="275">
        <v>531323</v>
      </c>
      <c r="Q1010" s="275">
        <v>214804</v>
      </c>
      <c r="R1010" s="275">
        <v>52315</v>
      </c>
      <c r="S1010" s="275">
        <v>75</v>
      </c>
      <c r="T1010" s="275">
        <v>77</v>
      </c>
      <c r="U1010" s="275">
        <v>882279</v>
      </c>
      <c r="V1010" s="275">
        <v>706121</v>
      </c>
      <c r="W1010" s="275">
        <v>605122</v>
      </c>
      <c r="X1010" s="275">
        <v>567035</v>
      </c>
      <c r="Y1010" s="275">
        <v>481493</v>
      </c>
      <c r="Z1010" s="275">
        <f ca="1">[1]ExtEntry!$P18</f>
        <v>481493</v>
      </c>
      <c r="AB1010" s="298">
        <v>49</v>
      </c>
      <c r="AC1010" s="298">
        <v>42</v>
      </c>
      <c r="AD1010" s="298">
        <v>42</v>
      </c>
      <c r="AE1010" s="271">
        <v>51</v>
      </c>
      <c r="AF1010" s="271">
        <v>55</v>
      </c>
      <c r="AG1010" s="271">
        <v>56</v>
      </c>
      <c r="AH1010" s="271">
        <v>53</v>
      </c>
      <c r="AI1010" s="271">
        <v>64</v>
      </c>
      <c r="AJ1010" s="271">
        <v>67</v>
      </c>
      <c r="AK1010" s="271">
        <v>65</v>
      </c>
      <c r="AL1010" s="271">
        <v>69</v>
      </c>
      <c r="AM1010" s="271">
        <v>62</v>
      </c>
      <c r="AN1010" s="271">
        <v>62</v>
      </c>
      <c r="AO1010" s="298">
        <v>56</v>
      </c>
      <c r="AP1010" s="298">
        <v>51</v>
      </c>
      <c r="AQ1010" s="298">
        <v>42</v>
      </c>
      <c r="AR1010" s="298">
        <v>46</v>
      </c>
      <c r="AS1010" s="298">
        <v>32</v>
      </c>
      <c r="AT1010" s="298">
        <v>28</v>
      </c>
      <c r="AU1010" s="298">
        <v>26</v>
      </c>
      <c r="AV1010" s="298">
        <f t="shared" si="72"/>
        <v>26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447567</v>
      </c>
      <c r="G1011" s="275">
        <v>421371</v>
      </c>
      <c r="H1011" s="275">
        <v>214281</v>
      </c>
      <c r="I1011" s="275">
        <v>795927</v>
      </c>
      <c r="J1011" s="275">
        <v>795927</v>
      </c>
      <c r="K1011" s="275">
        <v>1351649</v>
      </c>
      <c r="L1011" s="275">
        <v>1132329</v>
      </c>
      <c r="M1011" s="275">
        <v>1715807</v>
      </c>
      <c r="N1011" s="275">
        <v>1534990</v>
      </c>
      <c r="O1011" s="275">
        <v>161512</v>
      </c>
      <c r="P1011" s="275">
        <v>1737361</v>
      </c>
      <c r="Q1011" s="275">
        <v>267953</v>
      </c>
      <c r="R1011" s="275">
        <v>120898</v>
      </c>
      <c r="S1011" s="275">
        <v>1531339</v>
      </c>
      <c r="T1011" s="275">
        <v>2004</v>
      </c>
      <c r="U1011" s="275">
        <v>1892083</v>
      </c>
      <c r="V1011" s="275">
        <v>1593371</v>
      </c>
      <c r="W1011" s="275">
        <v>1940498</v>
      </c>
      <c r="X1011" s="275">
        <v>1351370</v>
      </c>
      <c r="Y1011" s="275">
        <v>1656835</v>
      </c>
      <c r="Z1011" s="275">
        <f ca="1">[1]ExtEntry!$P19</f>
        <v>1656835</v>
      </c>
      <c r="AB1011" s="298">
        <v>27</v>
      </c>
      <c r="AC1011" s="298">
        <v>24</v>
      </c>
      <c r="AD1011" s="298">
        <v>24</v>
      </c>
      <c r="AE1011" s="271">
        <v>26</v>
      </c>
      <c r="AF1011" s="271">
        <v>28</v>
      </c>
      <c r="AG1011" s="271">
        <v>27</v>
      </c>
      <c r="AH1011" s="271">
        <v>28</v>
      </c>
      <c r="AI1011" s="271">
        <v>30</v>
      </c>
      <c r="AJ1011" s="271">
        <v>39</v>
      </c>
      <c r="AK1011" s="271">
        <v>47</v>
      </c>
      <c r="AL1011" s="271">
        <v>66</v>
      </c>
      <c r="AM1011" s="271">
        <v>60</v>
      </c>
      <c r="AN1011" s="271">
        <v>60</v>
      </c>
      <c r="AO1011" s="298">
        <v>53</v>
      </c>
      <c r="AP1011" s="298">
        <v>51</v>
      </c>
      <c r="AQ1011" s="298">
        <v>45</v>
      </c>
      <c r="AR1011" s="298">
        <v>36</v>
      </c>
      <c r="AS1011" s="298">
        <v>31</v>
      </c>
      <c r="AT1011" s="298">
        <v>39</v>
      </c>
      <c r="AU1011" s="298">
        <v>35</v>
      </c>
      <c r="AV1011" s="298">
        <f t="shared" si="72"/>
        <v>35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3613441</v>
      </c>
      <c r="G1012" s="275">
        <v>1399149</v>
      </c>
      <c r="H1012" s="275">
        <v>915427</v>
      </c>
      <c r="I1012" s="275">
        <v>3702836</v>
      </c>
      <c r="J1012" s="275">
        <v>3702836</v>
      </c>
      <c r="K1012" s="275">
        <v>5414130</v>
      </c>
      <c r="L1012" s="275">
        <v>2527163</v>
      </c>
      <c r="M1012" s="275">
        <v>5373794</v>
      </c>
      <c r="N1012" s="275">
        <v>3098627</v>
      </c>
      <c r="O1012" s="275">
        <v>1900674</v>
      </c>
      <c r="P1012" s="275">
        <v>1005261</v>
      </c>
      <c r="Q1012" s="275">
        <v>2775338</v>
      </c>
      <c r="R1012" s="275">
        <v>1517247</v>
      </c>
      <c r="S1012" s="275">
        <v>987234</v>
      </c>
      <c r="T1012" s="275">
        <v>588847</v>
      </c>
      <c r="U1012" s="275">
        <v>4999432</v>
      </c>
      <c r="V1012" s="275">
        <v>3109067</v>
      </c>
      <c r="W1012" s="275">
        <v>2333736</v>
      </c>
      <c r="X1012" s="275">
        <v>2448197</v>
      </c>
      <c r="Y1012" s="275">
        <v>5059905</v>
      </c>
      <c r="Z1012" s="275">
        <f ca="1">[1]ExtEntry!$P20</f>
        <v>5059905</v>
      </c>
      <c r="AB1012" s="298">
        <v>48</v>
      </c>
      <c r="AC1012" s="298">
        <v>57</v>
      </c>
      <c r="AD1012" s="298">
        <v>57</v>
      </c>
      <c r="AE1012" s="271">
        <v>60</v>
      </c>
      <c r="AF1012" s="271">
        <v>59</v>
      </c>
      <c r="AG1012" s="271">
        <v>58</v>
      </c>
      <c r="AH1012" s="271">
        <v>53</v>
      </c>
      <c r="AI1012" s="271">
        <v>54</v>
      </c>
      <c r="AJ1012" s="271">
        <v>56</v>
      </c>
      <c r="AK1012" s="271">
        <v>49</v>
      </c>
      <c r="AL1012" s="271">
        <v>31</v>
      </c>
      <c r="AM1012" s="271">
        <v>26</v>
      </c>
      <c r="AN1012" s="271">
        <v>26</v>
      </c>
      <c r="AO1012" s="298">
        <v>25</v>
      </c>
      <c r="AP1012" s="298">
        <v>30</v>
      </c>
      <c r="AQ1012" s="298">
        <v>39</v>
      </c>
      <c r="AR1012" s="298">
        <v>39</v>
      </c>
      <c r="AS1012" s="298">
        <v>42</v>
      </c>
      <c r="AT1012" s="298">
        <v>43</v>
      </c>
      <c r="AU1012" s="298">
        <v>52</v>
      </c>
      <c r="AV1012" s="298">
        <f t="shared" si="72"/>
        <v>52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335491</v>
      </c>
      <c r="G1013" s="275">
        <v>15552</v>
      </c>
      <c r="H1013" s="275">
        <v>153508</v>
      </c>
      <c r="I1013" s="275">
        <v>206361</v>
      </c>
      <c r="J1013" s="275">
        <v>206361</v>
      </c>
      <c r="K1013" s="275">
        <v>195847</v>
      </c>
      <c r="L1013" s="275">
        <v>162891143</v>
      </c>
      <c r="M1013" s="275">
        <v>107496365</v>
      </c>
      <c r="N1013" s="275">
        <v>15850955</v>
      </c>
      <c r="O1013" s="275">
        <v>7497472</v>
      </c>
      <c r="P1013" s="275">
        <v>9920509</v>
      </c>
      <c r="Q1013" s="275">
        <v>3238914</v>
      </c>
      <c r="R1013" s="275">
        <v>959376</v>
      </c>
      <c r="S1013" s="275">
        <v>108774</v>
      </c>
      <c r="T1013" s="275">
        <v>282533</v>
      </c>
      <c r="U1013" s="275">
        <v>2381646</v>
      </c>
      <c r="V1013" s="275">
        <v>2557970</v>
      </c>
      <c r="W1013" s="275">
        <v>10053114</v>
      </c>
      <c r="X1013" s="275">
        <v>1872215</v>
      </c>
      <c r="Y1013" s="275">
        <v>1666067</v>
      </c>
      <c r="Z1013" s="275">
        <f ca="1">[1]ExtEntry!$P21</f>
        <v>1666067</v>
      </c>
      <c r="AB1013" s="298">
        <v>73</v>
      </c>
      <c r="AC1013" s="298">
        <v>63</v>
      </c>
      <c r="AD1013" s="298">
        <v>63</v>
      </c>
      <c r="AE1013" s="271">
        <v>53</v>
      </c>
      <c r="AF1013" s="271">
        <v>53</v>
      </c>
      <c r="AG1013" s="271">
        <v>68</v>
      </c>
      <c r="AH1013" s="271">
        <v>95</v>
      </c>
      <c r="AI1013" s="271">
        <v>50</v>
      </c>
      <c r="AJ1013" s="271">
        <v>51</v>
      </c>
      <c r="AK1013" s="271">
        <v>50</v>
      </c>
      <c r="AL1013" s="271">
        <v>51</v>
      </c>
      <c r="AM1013" s="271">
        <v>50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51</v>
      </c>
      <c r="AS1013" s="298">
        <v>49</v>
      </c>
      <c r="AT1013" s="298">
        <v>48</v>
      </c>
      <c r="AU1013" s="298">
        <v>47</v>
      </c>
      <c r="AV1013" s="298">
        <f t="shared" si="72"/>
        <v>47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3204803</v>
      </c>
      <c r="G1014" s="275">
        <v>1386721</v>
      </c>
      <c r="H1014" s="275">
        <v>976793</v>
      </c>
      <c r="I1014" s="275">
        <v>3952820</v>
      </c>
      <c r="J1014" s="275">
        <v>3952820</v>
      </c>
      <c r="K1014" s="275">
        <v>7041467</v>
      </c>
      <c r="L1014" s="275">
        <v>3798986</v>
      </c>
      <c r="M1014" s="275">
        <v>7303240</v>
      </c>
      <c r="N1014" s="275">
        <v>9846556</v>
      </c>
      <c r="O1014" s="275">
        <v>2300579</v>
      </c>
      <c r="P1014" s="275">
        <v>4972523</v>
      </c>
      <c r="Q1014" s="275">
        <v>2445805</v>
      </c>
      <c r="R1014" s="275">
        <v>595206</v>
      </c>
      <c r="S1014" s="275">
        <v>1151</v>
      </c>
      <c r="T1014" s="275">
        <v>1218</v>
      </c>
      <c r="U1014" s="275">
        <v>6352466</v>
      </c>
      <c r="V1014" s="275">
        <v>4541988</v>
      </c>
      <c r="W1014" s="275">
        <v>7134478</v>
      </c>
      <c r="X1014" s="275">
        <v>4244253</v>
      </c>
      <c r="Y1014" s="275">
        <v>12018282</v>
      </c>
      <c r="Z1014" s="275">
        <f ca="1">[1]ExtEntry!$P22</f>
        <v>12018282</v>
      </c>
      <c r="AB1014" s="298">
        <v>81</v>
      </c>
      <c r="AC1014" s="298">
        <v>75</v>
      </c>
      <c r="AD1014" s="298">
        <v>75</v>
      </c>
      <c r="AE1014" s="271">
        <v>71</v>
      </c>
      <c r="AF1014" s="271">
        <v>69</v>
      </c>
      <c r="AG1014" s="271">
        <v>66</v>
      </c>
      <c r="AH1014" s="271">
        <v>65</v>
      </c>
      <c r="AI1014" s="271">
        <v>62</v>
      </c>
      <c r="AJ1014" s="271">
        <v>73</v>
      </c>
      <c r="AK1014" s="271">
        <v>73</v>
      </c>
      <c r="AL1014" s="271">
        <v>74</v>
      </c>
      <c r="AM1014" s="271">
        <v>69</v>
      </c>
      <c r="AN1014" s="271">
        <v>69</v>
      </c>
      <c r="AO1014" s="298">
        <v>65</v>
      </c>
      <c r="AP1014" s="298">
        <v>49</v>
      </c>
      <c r="AQ1014" s="298">
        <v>47</v>
      </c>
      <c r="AR1014" s="298">
        <v>45</v>
      </c>
      <c r="AS1014" s="298">
        <v>32</v>
      </c>
      <c r="AT1014" s="298">
        <v>40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2999079</v>
      </c>
      <c r="G1015" s="275">
        <v>2986442</v>
      </c>
      <c r="H1015" s="275">
        <v>1881414</v>
      </c>
      <c r="I1015" s="275">
        <v>6963990</v>
      </c>
      <c r="J1015" s="275">
        <v>6963990</v>
      </c>
      <c r="K1015" s="275">
        <v>16996256</v>
      </c>
      <c r="L1015" s="275">
        <v>17378430</v>
      </c>
      <c r="M1015" s="275">
        <v>17054220</v>
      </c>
      <c r="N1015" s="275">
        <v>23372659</v>
      </c>
      <c r="O1015" s="275">
        <v>8022129</v>
      </c>
      <c r="P1015" s="275">
        <v>19962851</v>
      </c>
      <c r="Q1015" s="275">
        <v>9723553</v>
      </c>
      <c r="R1015" s="275">
        <v>3206621</v>
      </c>
      <c r="S1015" s="275">
        <v>43636</v>
      </c>
      <c r="T1015" s="275">
        <v>59833</v>
      </c>
      <c r="U1015" s="275">
        <v>19128340</v>
      </c>
      <c r="V1015" s="275">
        <v>16529619</v>
      </c>
      <c r="W1015" s="275">
        <v>21359944</v>
      </c>
      <c r="X1015" s="275">
        <v>17184516</v>
      </c>
      <c r="Y1015" s="275">
        <v>20681716</v>
      </c>
      <c r="Z1015" s="275">
        <f ca="1">[1]ExtEntry!$P23</f>
        <v>20681716</v>
      </c>
      <c r="AB1015" s="298">
        <v>42</v>
      </c>
      <c r="AC1015" s="298">
        <v>38</v>
      </c>
      <c r="AD1015" s="298">
        <v>38</v>
      </c>
      <c r="AE1015" s="271">
        <v>36</v>
      </c>
      <c r="AF1015" s="271">
        <v>31</v>
      </c>
      <c r="AG1015" s="271">
        <v>27</v>
      </c>
      <c r="AH1015" s="271">
        <v>28</v>
      </c>
      <c r="AI1015" s="271">
        <v>29</v>
      </c>
      <c r="AJ1015" s="271">
        <v>40</v>
      </c>
      <c r="AK1015" s="271">
        <v>59</v>
      </c>
      <c r="AL1015" s="271">
        <v>48</v>
      </c>
      <c r="AM1015" s="271">
        <v>47</v>
      </c>
      <c r="AN1015" s="271">
        <v>47</v>
      </c>
      <c r="AO1015" s="298">
        <v>34</v>
      </c>
      <c r="AP1015" s="298">
        <v>47</v>
      </c>
      <c r="AQ1015" s="298">
        <v>47</v>
      </c>
      <c r="AR1015" s="298">
        <v>51</v>
      </c>
      <c r="AS1015" s="298">
        <v>61</v>
      </c>
      <c r="AT1015" s="298">
        <v>68</v>
      </c>
      <c r="AU1015" s="298">
        <v>71</v>
      </c>
      <c r="AV1015" s="298">
        <f t="shared" si="72"/>
        <v>71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2431047</v>
      </c>
      <c r="G1016" s="275">
        <v>1484584</v>
      </c>
      <c r="H1016" s="275">
        <v>1012940</v>
      </c>
      <c r="I1016" s="275">
        <v>4110940</v>
      </c>
      <c r="J1016" s="275">
        <v>4110940</v>
      </c>
      <c r="K1016" s="275">
        <v>6458213</v>
      </c>
      <c r="L1016" s="275">
        <v>8249647</v>
      </c>
      <c r="M1016" s="275">
        <v>11926598</v>
      </c>
      <c r="N1016" s="275">
        <v>11610304</v>
      </c>
      <c r="O1016" s="275">
        <v>6915787</v>
      </c>
      <c r="P1016" s="275">
        <v>12745715</v>
      </c>
      <c r="Q1016" s="275">
        <v>3312154</v>
      </c>
      <c r="R1016" s="275">
        <v>1051384</v>
      </c>
      <c r="S1016" s="275">
        <v>896</v>
      </c>
      <c r="T1016" s="275">
        <v>19946</v>
      </c>
      <c r="U1016" s="275">
        <v>8040990</v>
      </c>
      <c r="V1016" s="275">
        <v>9860604</v>
      </c>
      <c r="W1016" s="275">
        <v>9094779</v>
      </c>
      <c r="X1016" s="275">
        <v>6295129</v>
      </c>
      <c r="Y1016" s="275">
        <v>8097871</v>
      </c>
      <c r="Z1016" s="275">
        <f ca="1">[1]ExtEntry!$P24</f>
        <v>8097871</v>
      </c>
      <c r="AB1016" s="298">
        <v>57</v>
      </c>
      <c r="AC1016" s="298">
        <v>49</v>
      </c>
      <c r="AD1016" s="298">
        <v>49</v>
      </c>
      <c r="AE1016" s="271">
        <v>51</v>
      </c>
      <c r="AF1016" s="271">
        <v>54</v>
      </c>
      <c r="AG1016" s="271">
        <v>46</v>
      </c>
      <c r="AH1016" s="271">
        <v>50</v>
      </c>
      <c r="AI1016" s="271">
        <v>48</v>
      </c>
      <c r="AJ1016" s="271">
        <v>53</v>
      </c>
      <c r="AK1016" s="271">
        <v>64</v>
      </c>
      <c r="AL1016" s="271">
        <v>64</v>
      </c>
      <c r="AM1016" s="271">
        <v>59</v>
      </c>
      <c r="AN1016" s="271">
        <v>59</v>
      </c>
      <c r="AO1016" s="298">
        <v>46</v>
      </c>
      <c r="AP1016" s="298">
        <v>46</v>
      </c>
      <c r="AQ1016" s="298">
        <v>48</v>
      </c>
      <c r="AR1016" s="298">
        <v>43</v>
      </c>
      <c r="AS1016" s="298">
        <v>36</v>
      </c>
      <c r="AT1016" s="298">
        <v>31</v>
      </c>
      <c r="AU1016" s="298">
        <v>32</v>
      </c>
      <c r="AV1016" s="298">
        <f t="shared" si="72"/>
        <v>32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9007171</v>
      </c>
      <c r="G1017" s="275">
        <v>10402308</v>
      </c>
      <c r="H1017" s="275">
        <v>4280273</v>
      </c>
      <c r="I1017" s="275">
        <v>12054110</v>
      </c>
      <c r="J1017" s="275">
        <v>12054110</v>
      </c>
      <c r="K1017" s="275">
        <v>9955878</v>
      </c>
      <c r="L1017" s="275">
        <v>15297017</v>
      </c>
      <c r="M1017" s="275">
        <v>14324870</v>
      </c>
      <c r="N1017" s="275">
        <v>8813042</v>
      </c>
      <c r="O1017" s="275">
        <v>7130313</v>
      </c>
      <c r="P1017" s="275">
        <v>3675795</v>
      </c>
      <c r="Q1017" s="275">
        <v>12997822</v>
      </c>
      <c r="R1017" s="275">
        <v>10947819</v>
      </c>
      <c r="S1017" s="275">
        <v>8680543</v>
      </c>
      <c r="T1017" s="275">
        <v>4631755</v>
      </c>
      <c r="U1017" s="275">
        <v>9111020</v>
      </c>
      <c r="V1017" s="275">
        <v>15190243</v>
      </c>
      <c r="W1017" s="275">
        <v>20765144</v>
      </c>
      <c r="X1017" s="275">
        <v>18168189</v>
      </c>
      <c r="Y1017" s="275">
        <v>11153264</v>
      </c>
      <c r="Z1017" s="275">
        <f ca="1">[1]ExtEntry!$P25</f>
        <v>11153264</v>
      </c>
      <c r="AB1017" s="298">
        <v>60</v>
      </c>
      <c r="AC1017" s="298">
        <v>60</v>
      </c>
      <c r="AD1017" s="298">
        <v>60</v>
      </c>
      <c r="AE1017" s="271">
        <v>62</v>
      </c>
      <c r="AF1017" s="271">
        <v>69</v>
      </c>
      <c r="AG1017" s="271">
        <v>67</v>
      </c>
      <c r="AH1017" s="271">
        <v>70</v>
      </c>
      <c r="AI1017" s="271">
        <v>63</v>
      </c>
      <c r="AJ1017" s="271">
        <v>61</v>
      </c>
      <c r="AK1017" s="271">
        <v>71</v>
      </c>
      <c r="AL1017" s="271">
        <v>73</v>
      </c>
      <c r="AM1017" s="271">
        <v>56</v>
      </c>
      <c r="AN1017" s="271">
        <v>56</v>
      </c>
      <c r="AO1017" s="298">
        <v>56</v>
      </c>
      <c r="AP1017" s="298">
        <v>57</v>
      </c>
      <c r="AQ1017" s="298">
        <v>58</v>
      </c>
      <c r="AR1017" s="298">
        <v>59</v>
      </c>
      <c r="AS1017" s="298">
        <v>46</v>
      </c>
      <c r="AT1017" s="298">
        <v>45</v>
      </c>
      <c r="AU1017" s="298">
        <v>48</v>
      </c>
      <c r="AV1017" s="298">
        <f t="shared" si="72"/>
        <v>48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2120310</v>
      </c>
      <c r="G1018" s="275">
        <v>1113481</v>
      </c>
      <c r="H1018" s="275">
        <v>862733</v>
      </c>
      <c r="I1018" s="275">
        <v>3474639</v>
      </c>
      <c r="J1018" s="275">
        <v>3474639</v>
      </c>
      <c r="K1018" s="275">
        <v>5307238</v>
      </c>
      <c r="L1018" s="275">
        <v>4416961</v>
      </c>
      <c r="M1018" s="275">
        <v>7750618</v>
      </c>
      <c r="N1018" s="275">
        <v>7583309</v>
      </c>
      <c r="O1018" s="275">
        <v>1939467</v>
      </c>
      <c r="P1018" s="275">
        <v>5422607</v>
      </c>
      <c r="Q1018" s="275">
        <v>2074764</v>
      </c>
      <c r="R1018" s="275">
        <v>1300111</v>
      </c>
      <c r="S1018" s="275">
        <v>33</v>
      </c>
      <c r="T1018" s="275">
        <v>2764</v>
      </c>
      <c r="U1018" s="275">
        <v>10182450</v>
      </c>
      <c r="V1018" s="275">
        <v>7145884</v>
      </c>
      <c r="W1018" s="275">
        <v>9296958</v>
      </c>
      <c r="X1018" s="275">
        <v>12211834</v>
      </c>
      <c r="Y1018" s="275">
        <v>8120506</v>
      </c>
      <c r="Z1018" s="275">
        <f ca="1">[1]ExtEntry!$P26</f>
        <v>8120506</v>
      </c>
      <c r="AB1018" s="298">
        <v>36</v>
      </c>
      <c r="AC1018" s="298">
        <v>34</v>
      </c>
      <c r="AD1018" s="298">
        <v>34</v>
      </c>
      <c r="AE1018" s="271">
        <v>41</v>
      </c>
      <c r="AF1018" s="271">
        <v>48</v>
      </c>
      <c r="AG1018" s="271">
        <v>61</v>
      </c>
      <c r="AH1018" s="271">
        <v>63</v>
      </c>
      <c r="AI1018" s="271">
        <v>55</v>
      </c>
      <c r="AJ1018" s="271">
        <v>47</v>
      </c>
      <c r="AK1018" s="271">
        <v>38</v>
      </c>
      <c r="AL1018" s="271">
        <v>40</v>
      </c>
      <c r="AM1018" s="271">
        <v>43</v>
      </c>
      <c r="AN1018" s="271">
        <v>43</v>
      </c>
      <c r="AO1018" s="298">
        <v>41</v>
      </c>
      <c r="AP1018" s="298">
        <v>52</v>
      </c>
      <c r="AQ1018" s="298">
        <v>50</v>
      </c>
      <c r="AR1018" s="298">
        <v>46</v>
      </c>
      <c r="AS1018" s="298">
        <v>39</v>
      </c>
      <c r="AT1018" s="298">
        <v>34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29979</v>
      </c>
      <c r="G1019" s="275">
        <v>52790</v>
      </c>
      <c r="H1019" s="275">
        <v>6421</v>
      </c>
      <c r="I1019" s="275">
        <v>70494</v>
      </c>
      <c r="J1019" s="275">
        <v>70494</v>
      </c>
      <c r="K1019" s="275">
        <v>41732</v>
      </c>
      <c r="L1019" s="275">
        <v>22058</v>
      </c>
      <c r="M1019" s="275">
        <v>29936</v>
      </c>
      <c r="N1019" s="275">
        <v>60595</v>
      </c>
      <c r="O1019" s="275">
        <v>22461</v>
      </c>
      <c r="P1019" s="275">
        <v>71750</v>
      </c>
      <c r="Q1019" s="275">
        <v>6232</v>
      </c>
      <c r="R1019" s="275">
        <v>2116</v>
      </c>
      <c r="S1019" s="275">
        <v>140720</v>
      </c>
      <c r="T1019" s="275">
        <v>103468</v>
      </c>
      <c r="U1019" s="275">
        <v>42464</v>
      </c>
      <c r="V1019" s="275">
        <v>70529</v>
      </c>
      <c r="W1019" s="275">
        <v>79749</v>
      </c>
      <c r="X1019" s="275">
        <v>131316</v>
      </c>
      <c r="Y1019" s="275">
        <v>58507</v>
      </c>
      <c r="Z1019" s="275">
        <f ca="1">[1]ExtEntry!$P27</f>
        <v>58507</v>
      </c>
      <c r="AB1019" s="298">
        <v>39</v>
      </c>
      <c r="AC1019" s="298">
        <v>32</v>
      </c>
      <c r="AD1019" s="298">
        <v>32</v>
      </c>
      <c r="AE1019" s="271">
        <v>31</v>
      </c>
      <c r="AF1019" s="271">
        <v>24</v>
      </c>
      <c r="AG1019" s="271">
        <v>24</v>
      </c>
      <c r="AH1019" s="271">
        <v>16</v>
      </c>
      <c r="AI1019" s="271">
        <v>18</v>
      </c>
      <c r="AJ1019" s="271">
        <v>17</v>
      </c>
      <c r="AK1019" s="271">
        <v>19</v>
      </c>
      <c r="AL1019" s="271">
        <v>24</v>
      </c>
      <c r="AM1019" s="271">
        <v>19</v>
      </c>
      <c r="AN1019" s="271">
        <v>19</v>
      </c>
      <c r="AO1019" s="298">
        <v>20</v>
      </c>
      <c r="AP1019" s="298">
        <v>24</v>
      </c>
      <c r="AQ1019" s="298">
        <v>24</v>
      </c>
      <c r="AR1019" s="298">
        <v>20</v>
      </c>
      <c r="AS1019" s="298">
        <v>21</v>
      </c>
      <c r="AT1019" s="298">
        <v>23</v>
      </c>
      <c r="AU1019" s="298">
        <v>33</v>
      </c>
      <c r="AV1019" s="298">
        <f t="shared" si="72"/>
        <v>33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5005550</v>
      </c>
      <c r="G1020" s="275">
        <v>4771018</v>
      </c>
      <c r="H1020" s="275">
        <v>5636446</v>
      </c>
      <c r="I1020" s="275">
        <v>8141035</v>
      </c>
      <c r="J1020" s="275">
        <v>8141035</v>
      </c>
      <c r="K1020" s="275">
        <v>9300825</v>
      </c>
      <c r="L1020" s="275">
        <v>9007795</v>
      </c>
      <c r="M1020" s="275">
        <v>9887687</v>
      </c>
      <c r="N1020" s="275">
        <v>20678159</v>
      </c>
      <c r="O1020" s="275">
        <v>9245725</v>
      </c>
      <c r="P1020" s="275">
        <v>9540808</v>
      </c>
      <c r="Q1020" s="275">
        <v>3978991</v>
      </c>
      <c r="R1020" s="275">
        <v>1174402</v>
      </c>
      <c r="S1020" s="275">
        <v>698239</v>
      </c>
      <c r="T1020" s="275">
        <v>189467</v>
      </c>
      <c r="U1020" s="275">
        <v>18545594</v>
      </c>
      <c r="V1020" s="275">
        <v>23786904</v>
      </c>
      <c r="W1020" s="275">
        <v>27120462</v>
      </c>
      <c r="X1020" s="275">
        <v>21207137</v>
      </c>
      <c r="Y1020" s="275">
        <v>14460029</v>
      </c>
      <c r="Z1020" s="275">
        <f ca="1">[1]ExtEntry!$P28</f>
        <v>14460029</v>
      </c>
      <c r="AB1020" s="298">
        <v>31</v>
      </c>
      <c r="AC1020" s="298">
        <v>29</v>
      </c>
      <c r="AD1020" s="298">
        <v>29</v>
      </c>
      <c r="AE1020" s="271">
        <v>34</v>
      </c>
      <c r="AF1020" s="271">
        <v>33</v>
      </c>
      <c r="AG1020" s="271">
        <v>29</v>
      </c>
      <c r="AH1020" s="271">
        <v>32</v>
      </c>
      <c r="AI1020" s="271">
        <v>31</v>
      </c>
      <c r="AJ1020" s="271">
        <v>55</v>
      </c>
      <c r="AK1020" s="271">
        <v>69</v>
      </c>
      <c r="AL1020" s="271">
        <v>66</v>
      </c>
      <c r="AM1020" s="271">
        <v>60</v>
      </c>
      <c r="AN1020" s="271">
        <v>60</v>
      </c>
      <c r="AO1020" s="298">
        <v>56</v>
      </c>
      <c r="AP1020" s="298">
        <v>60</v>
      </c>
      <c r="AQ1020" s="298">
        <v>64</v>
      </c>
      <c r="AR1020" s="298">
        <v>67</v>
      </c>
      <c r="AS1020" s="298">
        <v>74</v>
      </c>
      <c r="AT1020" s="298">
        <v>75</v>
      </c>
      <c r="AU1020" s="298">
        <v>78</v>
      </c>
      <c r="AV1020" s="298">
        <f t="shared" si="72"/>
        <v>78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2921138</v>
      </c>
      <c r="G1021" s="275">
        <v>3475895</v>
      </c>
      <c r="H1021" s="275">
        <v>1705018</v>
      </c>
      <c r="I1021" s="275">
        <v>3810165</v>
      </c>
      <c r="J1021" s="275">
        <v>3810165</v>
      </c>
      <c r="K1021" s="275">
        <v>6906541</v>
      </c>
      <c r="L1021" s="275">
        <v>13092941</v>
      </c>
      <c r="M1021" s="275">
        <v>12977159</v>
      </c>
      <c r="N1021" s="275">
        <v>18634867</v>
      </c>
      <c r="O1021" s="275">
        <v>2881879</v>
      </c>
      <c r="P1021" s="275">
        <v>8288636</v>
      </c>
      <c r="Q1021" s="275">
        <v>4787745</v>
      </c>
      <c r="R1021" s="275">
        <v>2125067</v>
      </c>
      <c r="S1021" s="275">
        <v>18324</v>
      </c>
      <c r="T1021" s="275">
        <v>108789</v>
      </c>
      <c r="U1021" s="275">
        <v>13074872</v>
      </c>
      <c r="V1021" s="275">
        <v>9765228</v>
      </c>
      <c r="W1021" s="275">
        <v>8213438</v>
      </c>
      <c r="X1021" s="275">
        <v>9873578</v>
      </c>
      <c r="Y1021" s="275">
        <v>31149393</v>
      </c>
      <c r="Z1021" s="275">
        <f ca="1">[1]ExtEntry!$P29</f>
        <v>31149393</v>
      </c>
      <c r="AB1021" s="298">
        <v>41</v>
      </c>
      <c r="AC1021" s="298">
        <v>37</v>
      </c>
      <c r="AD1021" s="298">
        <v>37</v>
      </c>
      <c r="AE1021" s="271">
        <v>28</v>
      </c>
      <c r="AF1021" s="271">
        <v>27</v>
      </c>
      <c r="AG1021" s="271">
        <v>25</v>
      </c>
      <c r="AH1021" s="271">
        <v>22</v>
      </c>
      <c r="AI1021" s="271">
        <v>26</v>
      </c>
      <c r="AJ1021" s="271">
        <v>35</v>
      </c>
      <c r="AK1021" s="271">
        <v>41</v>
      </c>
      <c r="AL1021" s="271">
        <v>34</v>
      </c>
      <c r="AM1021" s="271">
        <v>32</v>
      </c>
      <c r="AN1021" s="271">
        <v>32</v>
      </c>
      <c r="AO1021" s="298">
        <v>31</v>
      </c>
      <c r="AP1021" s="298">
        <v>25</v>
      </c>
      <c r="AQ1021" s="298">
        <v>10</v>
      </c>
      <c r="AR1021" s="298">
        <v>10</v>
      </c>
      <c r="AS1021" s="298">
        <v>10</v>
      </c>
      <c r="AT1021" s="298">
        <v>23</v>
      </c>
      <c r="AU1021" s="298">
        <v>20</v>
      </c>
      <c r="AV1021" s="298">
        <f t="shared" si="72"/>
        <v>20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8430069</v>
      </c>
      <c r="G1022" s="275">
        <v>6549007</v>
      </c>
      <c r="H1022" s="275">
        <v>3632550</v>
      </c>
      <c r="I1022" s="275">
        <v>14555565</v>
      </c>
      <c r="J1022" s="275">
        <v>14555565</v>
      </c>
      <c r="K1022" s="275">
        <v>27689386</v>
      </c>
      <c r="L1022" s="275">
        <v>21619706</v>
      </c>
      <c r="M1022" s="275">
        <v>30662116</v>
      </c>
      <c r="N1022" s="275">
        <v>17205193</v>
      </c>
      <c r="O1022" s="275">
        <v>4580554</v>
      </c>
      <c r="P1022" s="275">
        <v>20961569</v>
      </c>
      <c r="Q1022" s="275">
        <v>6410830</v>
      </c>
      <c r="R1022" s="275">
        <v>2626112</v>
      </c>
      <c r="S1022" s="275">
        <v>18196</v>
      </c>
      <c r="T1022" s="275">
        <v>109985</v>
      </c>
      <c r="U1022" s="275">
        <v>16736749</v>
      </c>
      <c r="V1022" s="275">
        <v>14220554</v>
      </c>
      <c r="W1022" s="275">
        <v>21586367</v>
      </c>
      <c r="X1022" s="275">
        <v>12607220</v>
      </c>
      <c r="Y1022" s="275">
        <v>23558621</v>
      </c>
      <c r="Z1022" s="275">
        <f ca="1">[1]ExtEntry!$P30</f>
        <v>23558621</v>
      </c>
      <c r="AB1022" s="298">
        <v>56</v>
      </c>
      <c r="AC1022" s="298">
        <v>58</v>
      </c>
      <c r="AD1022" s="298">
        <v>58</v>
      </c>
      <c r="AE1022" s="271">
        <v>48</v>
      </c>
      <c r="AF1022" s="271">
        <v>42</v>
      </c>
      <c r="AG1022" s="271">
        <v>41</v>
      </c>
      <c r="AH1022" s="271">
        <v>39</v>
      </c>
      <c r="AI1022" s="271">
        <v>23</v>
      </c>
      <c r="AJ1022" s="271">
        <v>31</v>
      </c>
      <c r="AK1022" s="271">
        <v>36</v>
      </c>
      <c r="AL1022" s="271">
        <v>28</v>
      </c>
      <c r="AM1022" s="271">
        <v>29</v>
      </c>
      <c r="AN1022" s="271">
        <v>29</v>
      </c>
      <c r="AO1022" s="298">
        <v>19</v>
      </c>
      <c r="AP1022" s="298">
        <v>20</v>
      </c>
      <c r="AQ1022" s="298">
        <v>25</v>
      </c>
      <c r="AR1022" s="298">
        <v>26</v>
      </c>
      <c r="AS1022" s="298">
        <v>35</v>
      </c>
      <c r="AT1022" s="298">
        <v>46</v>
      </c>
      <c r="AU1022" s="298">
        <v>64</v>
      </c>
      <c r="AV1022" s="298">
        <f t="shared" si="72"/>
        <v>64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2276903</v>
      </c>
      <c r="G1023" s="275">
        <v>3213946</v>
      </c>
      <c r="H1023" s="275">
        <v>3379205</v>
      </c>
      <c r="I1023" s="275">
        <v>5169806</v>
      </c>
      <c r="J1023" s="275">
        <v>5169806</v>
      </c>
      <c r="K1023" s="275">
        <v>11010790</v>
      </c>
      <c r="L1023" s="275">
        <v>6337588</v>
      </c>
      <c r="M1023" s="275">
        <v>7158521</v>
      </c>
      <c r="N1023" s="275">
        <v>10116201</v>
      </c>
      <c r="O1023" s="275">
        <v>1659603</v>
      </c>
      <c r="P1023" s="275">
        <v>11280520</v>
      </c>
      <c r="Q1023" s="275">
        <v>2788269</v>
      </c>
      <c r="R1023" s="275">
        <v>776009</v>
      </c>
      <c r="S1023" s="275">
        <v>2239</v>
      </c>
      <c r="T1023" s="275">
        <v>587650</v>
      </c>
      <c r="U1023" s="275">
        <v>12595652</v>
      </c>
      <c r="V1023" s="275">
        <v>7290105</v>
      </c>
      <c r="W1023" s="275">
        <v>9252672</v>
      </c>
      <c r="X1023" s="275">
        <v>5132506</v>
      </c>
      <c r="Y1023" s="275">
        <v>9341378</v>
      </c>
      <c r="Z1023" s="275">
        <f ca="1">[1]ExtEntry!$P31</f>
        <v>9341378</v>
      </c>
      <c r="AB1023" s="298">
        <v>8</v>
      </c>
      <c r="AC1023" s="298">
        <v>12</v>
      </c>
      <c r="AD1023" s="298">
        <v>12</v>
      </c>
      <c r="AE1023" s="271">
        <v>39</v>
      </c>
      <c r="AF1023" s="271">
        <v>43</v>
      </c>
      <c r="AG1023" s="271">
        <v>44</v>
      </c>
      <c r="AH1023" s="271">
        <v>44</v>
      </c>
      <c r="AI1023" s="271">
        <v>41</v>
      </c>
      <c r="AJ1023" s="271">
        <v>39</v>
      </c>
      <c r="AK1023" s="271">
        <v>40</v>
      </c>
      <c r="AL1023" s="271">
        <v>37</v>
      </c>
      <c r="AM1023" s="271">
        <v>31</v>
      </c>
      <c r="AN1023" s="271">
        <v>31</v>
      </c>
      <c r="AO1023" s="298">
        <v>30</v>
      </c>
      <c r="AP1023" s="298">
        <v>28</v>
      </c>
      <c r="AQ1023" s="298">
        <v>22</v>
      </c>
      <c r="AR1023" s="298">
        <v>17</v>
      </c>
      <c r="AS1023" s="298">
        <v>21</v>
      </c>
      <c r="AT1023" s="298">
        <v>18</v>
      </c>
      <c r="AU1023" s="298">
        <v>22</v>
      </c>
      <c r="AV1023" s="298">
        <f t="shared" si="72"/>
        <v>22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2418828</v>
      </c>
      <c r="G1024" s="275">
        <v>2389654</v>
      </c>
      <c r="H1024" s="275">
        <v>1305395</v>
      </c>
      <c r="I1024" s="275">
        <v>5585453</v>
      </c>
      <c r="J1024" s="275">
        <v>5585453</v>
      </c>
      <c r="K1024" s="275">
        <v>7634547</v>
      </c>
      <c r="L1024" s="275">
        <v>9400271</v>
      </c>
      <c r="M1024" s="275">
        <v>10706229</v>
      </c>
      <c r="N1024" s="275">
        <v>8987364</v>
      </c>
      <c r="O1024" s="275">
        <v>2281019</v>
      </c>
      <c r="P1024" s="275">
        <v>7946045</v>
      </c>
      <c r="Q1024" s="275">
        <v>7035969</v>
      </c>
      <c r="R1024" s="275">
        <v>1658412</v>
      </c>
      <c r="S1024" s="275">
        <v>23868</v>
      </c>
      <c r="T1024" s="275">
        <v>60109</v>
      </c>
      <c r="U1024" s="275">
        <v>10098441</v>
      </c>
      <c r="V1024" s="275">
        <v>10444012</v>
      </c>
      <c r="W1024" s="275">
        <v>12289041</v>
      </c>
      <c r="X1024" s="275">
        <v>7028802</v>
      </c>
      <c r="Y1024" s="275">
        <v>8272741</v>
      </c>
      <c r="Z1024" s="275">
        <f ca="1">[1]ExtEntry!$P32</f>
        <v>8272741</v>
      </c>
      <c r="AB1024" s="298">
        <v>66</v>
      </c>
      <c r="AC1024" s="298">
        <v>64</v>
      </c>
      <c r="AD1024" s="298">
        <v>64</v>
      </c>
      <c r="AE1024" s="271">
        <v>56</v>
      </c>
      <c r="AF1024" s="271">
        <v>34</v>
      </c>
      <c r="AG1024" s="271">
        <v>49</v>
      </c>
      <c r="AH1024" s="271">
        <v>58</v>
      </c>
      <c r="AI1024" s="271">
        <v>64</v>
      </c>
      <c r="AJ1024" s="271">
        <v>62</v>
      </c>
      <c r="AK1024" s="271">
        <v>62</v>
      </c>
      <c r="AL1024" s="271">
        <v>64</v>
      </c>
      <c r="AM1024" s="271">
        <v>63</v>
      </c>
      <c r="AN1024" s="271">
        <v>63</v>
      </c>
      <c r="AO1024" s="298">
        <v>64</v>
      </c>
      <c r="AP1024" s="298">
        <v>63</v>
      </c>
      <c r="AQ1024" s="298">
        <v>59</v>
      </c>
      <c r="AR1024" s="298">
        <v>61</v>
      </c>
      <c r="AS1024" s="298">
        <v>77</v>
      </c>
      <c r="AT1024" s="298">
        <v>90</v>
      </c>
      <c r="AU1024" s="298">
        <v>85</v>
      </c>
      <c r="AV1024" s="298">
        <f t="shared" si="72"/>
        <v>85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2361054</v>
      </c>
      <c r="G1025" s="275">
        <v>1311814</v>
      </c>
      <c r="H1025" s="275">
        <v>648945</v>
      </c>
      <c r="I1025" s="275">
        <v>2998322</v>
      </c>
      <c r="J1025" s="275">
        <v>2998322</v>
      </c>
      <c r="K1025" s="275">
        <v>2387723</v>
      </c>
      <c r="L1025" s="275">
        <v>2809592</v>
      </c>
      <c r="M1025" s="275">
        <v>1981646</v>
      </c>
      <c r="N1025" s="275">
        <v>1659346</v>
      </c>
      <c r="O1025" s="275">
        <v>592653</v>
      </c>
      <c r="P1025" s="275">
        <v>3209817</v>
      </c>
      <c r="Q1025" s="275">
        <v>1041447</v>
      </c>
      <c r="R1025" s="275">
        <v>537540</v>
      </c>
      <c r="S1025" s="275">
        <v>1910</v>
      </c>
      <c r="T1025" s="275">
        <v>22710</v>
      </c>
      <c r="U1025" s="275">
        <v>1913567</v>
      </c>
      <c r="V1025" s="275">
        <v>2213632</v>
      </c>
      <c r="W1025" s="275">
        <v>2697225</v>
      </c>
      <c r="X1025" s="275">
        <v>4956051</v>
      </c>
      <c r="Y1025" s="275">
        <v>3772027</v>
      </c>
      <c r="Z1025" s="275">
        <f ca="1">[1]ExtEntry!$P33</f>
        <v>3772027</v>
      </c>
      <c r="AB1025" s="298">
        <v>41</v>
      </c>
      <c r="AC1025" s="298">
        <v>52</v>
      </c>
      <c r="AD1025" s="298">
        <v>52</v>
      </c>
      <c r="AE1025" s="271">
        <v>46</v>
      </c>
      <c r="AF1025" s="271">
        <v>39</v>
      </c>
      <c r="AG1025" s="271">
        <v>40</v>
      </c>
      <c r="AH1025" s="271">
        <v>40</v>
      </c>
      <c r="AI1025" s="271">
        <v>47</v>
      </c>
      <c r="AJ1025" s="271">
        <v>47</v>
      </c>
      <c r="AK1025" s="271">
        <v>48</v>
      </c>
      <c r="AL1025" s="271">
        <v>39</v>
      </c>
      <c r="AM1025" s="271">
        <v>43</v>
      </c>
      <c r="AN1025" s="271">
        <v>43</v>
      </c>
      <c r="AO1025" s="298">
        <v>40</v>
      </c>
      <c r="AP1025" s="298">
        <v>45</v>
      </c>
      <c r="AQ1025" s="298">
        <v>42</v>
      </c>
      <c r="AR1025" s="298">
        <v>46</v>
      </c>
      <c r="AS1025" s="298">
        <v>51</v>
      </c>
      <c r="AT1025" s="298">
        <v>47</v>
      </c>
      <c r="AU1025" s="298">
        <v>44</v>
      </c>
      <c r="AV1025" s="298">
        <f t="shared" si="72"/>
        <v>44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1384380</v>
      </c>
      <c r="G1026" s="275">
        <v>518527</v>
      </c>
      <c r="H1026" s="275">
        <v>299280</v>
      </c>
      <c r="I1026" s="275">
        <v>2597503</v>
      </c>
      <c r="J1026" s="275">
        <v>2597503</v>
      </c>
      <c r="K1026" s="275">
        <v>1517903</v>
      </c>
      <c r="L1026" s="275">
        <v>9740656</v>
      </c>
      <c r="M1026" s="275">
        <v>5504311</v>
      </c>
      <c r="N1026" s="275">
        <v>5842798</v>
      </c>
      <c r="O1026" s="275">
        <v>1109710</v>
      </c>
      <c r="P1026" s="275">
        <v>2137427</v>
      </c>
      <c r="Q1026" s="275">
        <v>188538</v>
      </c>
      <c r="R1026" s="275">
        <v>87573</v>
      </c>
      <c r="S1026" s="275">
        <v>194</v>
      </c>
      <c r="T1026" s="275">
        <v>2414</v>
      </c>
      <c r="U1026" s="275">
        <v>351576</v>
      </c>
      <c r="V1026" s="275">
        <v>298771</v>
      </c>
      <c r="W1026" s="275">
        <v>545563</v>
      </c>
      <c r="X1026" s="275">
        <v>208232</v>
      </c>
      <c r="Y1026" s="275">
        <v>375822</v>
      </c>
      <c r="Z1026" s="275">
        <f ca="1">[1]ExtEntry!$P34</f>
        <v>375822</v>
      </c>
      <c r="AB1026" s="298">
        <v>43</v>
      </c>
      <c r="AC1026" s="298">
        <v>39</v>
      </c>
      <c r="AD1026" s="298">
        <v>39</v>
      </c>
      <c r="AE1026" s="271">
        <v>63</v>
      </c>
      <c r="AF1026" s="271">
        <v>49</v>
      </c>
      <c r="AG1026" s="271">
        <v>40</v>
      </c>
      <c r="AH1026" s="271">
        <v>27</v>
      </c>
      <c r="AI1026" s="271">
        <v>26</v>
      </c>
      <c r="AJ1026" s="271">
        <v>30</v>
      </c>
      <c r="AK1026" s="271">
        <v>31</v>
      </c>
      <c r="AL1026" s="271">
        <v>20</v>
      </c>
      <c r="AM1026" s="271">
        <v>4</v>
      </c>
      <c r="AN1026" s="271">
        <v>4</v>
      </c>
      <c r="AO1026" s="298">
        <v>8</v>
      </c>
      <c r="AP1026" s="298">
        <v>3</v>
      </c>
      <c r="AQ1026" s="298">
        <v>20</v>
      </c>
      <c r="AR1026" s="298">
        <v>29</v>
      </c>
      <c r="AS1026" s="298">
        <v>39</v>
      </c>
      <c r="AT1026" s="298">
        <v>39</v>
      </c>
      <c r="AU1026" s="298">
        <v>33</v>
      </c>
      <c r="AV1026" s="298">
        <f t="shared" si="72"/>
        <v>33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1269652</v>
      </c>
      <c r="G1027" s="275">
        <v>766547</v>
      </c>
      <c r="H1027" s="275">
        <v>516223</v>
      </c>
      <c r="I1027" s="275">
        <v>2617886</v>
      </c>
      <c r="J1027" s="275">
        <v>2617886</v>
      </c>
      <c r="K1027" s="275">
        <v>5086046</v>
      </c>
      <c r="L1027" s="275">
        <v>3032842</v>
      </c>
      <c r="M1027" s="275">
        <v>3463460</v>
      </c>
      <c r="N1027" s="275">
        <v>3491546</v>
      </c>
      <c r="O1027" s="275">
        <v>1250293</v>
      </c>
      <c r="P1027" s="275">
        <v>4285807</v>
      </c>
      <c r="Q1027" s="275">
        <v>4499790</v>
      </c>
      <c r="R1027" s="275">
        <v>1285215</v>
      </c>
      <c r="S1027" s="275">
        <v>12633</v>
      </c>
      <c r="T1027" s="275">
        <v>53949</v>
      </c>
      <c r="U1027" s="275">
        <v>9240041</v>
      </c>
      <c r="V1027" s="275">
        <v>8063001</v>
      </c>
      <c r="W1027" s="275">
        <v>7328169</v>
      </c>
      <c r="X1027" s="275">
        <v>3990318</v>
      </c>
      <c r="Y1027" s="275">
        <v>6891547</v>
      </c>
      <c r="Z1027" s="275">
        <f ca="1">[1]ExtEntry!$P35</f>
        <v>6891547</v>
      </c>
      <c r="AB1027" s="298">
        <v>43</v>
      </c>
      <c r="AC1027" s="298">
        <v>35</v>
      </c>
      <c r="AD1027" s="298">
        <v>35</v>
      </c>
      <c r="AE1027" s="271">
        <v>33</v>
      </c>
      <c r="AF1027" s="271">
        <v>29</v>
      </c>
      <c r="AG1027" s="271">
        <v>37</v>
      </c>
      <c r="AH1027" s="271">
        <v>42</v>
      </c>
      <c r="AI1027" s="271">
        <v>49</v>
      </c>
      <c r="AJ1027" s="271">
        <v>49</v>
      </c>
      <c r="AK1027" s="271">
        <v>46</v>
      </c>
      <c r="AL1027" s="271">
        <v>50</v>
      </c>
      <c r="AM1027" s="271">
        <v>47</v>
      </c>
      <c r="AN1027" s="271">
        <v>47</v>
      </c>
      <c r="AO1027" s="298">
        <v>45</v>
      </c>
      <c r="AP1027" s="298">
        <v>46</v>
      </c>
      <c r="AQ1027" s="298">
        <v>53</v>
      </c>
      <c r="AR1027" s="298">
        <v>51</v>
      </c>
      <c r="AS1027" s="298">
        <v>64</v>
      </c>
      <c r="AT1027" s="298">
        <v>76</v>
      </c>
      <c r="AU1027" s="298">
        <v>72</v>
      </c>
      <c r="AV1027" s="298">
        <f t="shared" ref="AV1027:AV1058" si="74">INT(100-100/(1+(19*SUMIF(L631:Y631,"&gt;0",L631:Y631)+IF(Y631&gt;0,Y631,0))/ABS(19*SUMIF(L631:Y631,"&lt;0",L631:Y631)+IF(Y631&lt;0,Y631,0))))</f>
        <v>72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3470</v>
      </c>
      <c r="G1028" s="275">
        <v>269787</v>
      </c>
      <c r="H1028" s="275">
        <v>1601180</v>
      </c>
      <c r="I1028" s="275">
        <v>126329</v>
      </c>
      <c r="J1028" s="275">
        <v>126329</v>
      </c>
      <c r="K1028" s="275">
        <v>86437</v>
      </c>
      <c r="L1028" s="275">
        <v>36446</v>
      </c>
      <c r="M1028" s="275">
        <v>33658</v>
      </c>
      <c r="N1028" s="275">
        <v>28215</v>
      </c>
      <c r="O1028" s="275">
        <v>43330</v>
      </c>
      <c r="P1028" s="275">
        <v>37275</v>
      </c>
      <c r="Q1028" s="275">
        <v>20668</v>
      </c>
      <c r="R1028" s="275">
        <v>719</v>
      </c>
      <c r="S1028" s="275">
        <v>36293</v>
      </c>
      <c r="T1028" s="275">
        <v>36320</v>
      </c>
      <c r="U1028" s="275">
        <v>86551</v>
      </c>
      <c r="V1028" s="275">
        <v>50332</v>
      </c>
      <c r="W1028" s="275">
        <v>70679</v>
      </c>
      <c r="X1028" s="275">
        <v>105300</v>
      </c>
      <c r="Y1028" s="275">
        <v>61898</v>
      </c>
      <c r="Z1028" s="275">
        <f ca="1">[1]ExtEntry!$P36</f>
        <v>61898</v>
      </c>
      <c r="AB1028" s="298">
        <v>23</v>
      </c>
      <c r="AC1028" s="298">
        <v>13</v>
      </c>
      <c r="AD1028" s="298">
        <v>13</v>
      </c>
      <c r="AE1028" s="271">
        <v>20</v>
      </c>
      <c r="AF1028" s="271">
        <v>20</v>
      </c>
      <c r="AG1028" s="271">
        <v>23</v>
      </c>
      <c r="AH1028" s="271">
        <v>18</v>
      </c>
      <c r="AI1028" s="271">
        <v>16</v>
      </c>
      <c r="AJ1028" s="271">
        <v>18</v>
      </c>
      <c r="AK1028" s="271">
        <v>18</v>
      </c>
      <c r="AL1028" s="271">
        <v>17</v>
      </c>
      <c r="AM1028" s="271">
        <v>18</v>
      </c>
      <c r="AN1028" s="271">
        <v>18</v>
      </c>
      <c r="AO1028" s="298">
        <v>18</v>
      </c>
      <c r="AP1028" s="298">
        <v>18</v>
      </c>
      <c r="AQ1028" s="298">
        <v>31</v>
      </c>
      <c r="AR1028" s="298">
        <v>14</v>
      </c>
      <c r="AS1028" s="298">
        <v>13</v>
      </c>
      <c r="AT1028" s="298">
        <v>26</v>
      </c>
      <c r="AU1028" s="298">
        <v>28</v>
      </c>
      <c r="AV1028" s="298">
        <f t="shared" si="74"/>
        <v>28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1002376</v>
      </c>
      <c r="G1029" s="275">
        <v>365475</v>
      </c>
      <c r="H1029" s="275">
        <v>654011</v>
      </c>
      <c r="I1029" s="275">
        <v>969624</v>
      </c>
      <c r="J1029" s="275">
        <v>969624</v>
      </c>
      <c r="K1029" s="275">
        <v>1267766</v>
      </c>
      <c r="L1029" s="275">
        <v>1595319</v>
      </c>
      <c r="M1029" s="275">
        <v>756547</v>
      </c>
      <c r="N1029" s="275">
        <v>939810</v>
      </c>
      <c r="O1029" s="275">
        <v>293960</v>
      </c>
      <c r="P1029" s="275">
        <v>2074675</v>
      </c>
      <c r="Q1029" s="275">
        <v>598559</v>
      </c>
      <c r="R1029" s="275">
        <v>217145</v>
      </c>
      <c r="S1029" s="275">
        <v>409</v>
      </c>
      <c r="T1029" s="275">
        <v>4811</v>
      </c>
      <c r="U1029" s="275">
        <v>915961</v>
      </c>
      <c r="V1029" s="275">
        <v>668956</v>
      </c>
      <c r="W1029" s="275">
        <v>1386170</v>
      </c>
      <c r="X1029" s="275">
        <v>1612191</v>
      </c>
      <c r="Y1029" s="275">
        <v>1045951</v>
      </c>
      <c r="Z1029" s="275">
        <f ca="1">[1]ExtEntry!$P37</f>
        <v>1045951</v>
      </c>
      <c r="AB1029" s="298">
        <v>40</v>
      </c>
      <c r="AC1029" s="298">
        <v>21</v>
      </c>
      <c r="AD1029" s="298">
        <v>21</v>
      </c>
      <c r="AE1029" s="271">
        <v>9</v>
      </c>
      <c r="AF1029" s="271">
        <v>8</v>
      </c>
      <c r="AG1029" s="271">
        <v>11</v>
      </c>
      <c r="AH1029" s="271">
        <v>11</v>
      </c>
      <c r="AI1029" s="271">
        <v>15</v>
      </c>
      <c r="AJ1029" s="271">
        <v>16</v>
      </c>
      <c r="AK1029" s="271">
        <v>22</v>
      </c>
      <c r="AL1029" s="271">
        <v>13</v>
      </c>
      <c r="AM1029" s="271">
        <v>14</v>
      </c>
      <c r="AN1029" s="271">
        <v>14</v>
      </c>
      <c r="AO1029" s="298">
        <v>17</v>
      </c>
      <c r="AP1029" s="298">
        <v>21</v>
      </c>
      <c r="AQ1029" s="298">
        <v>24</v>
      </c>
      <c r="AR1029" s="298">
        <v>26</v>
      </c>
      <c r="AS1029" s="298">
        <v>41</v>
      </c>
      <c r="AT1029" s="298">
        <v>38</v>
      </c>
      <c r="AU1029" s="298">
        <v>35</v>
      </c>
      <c r="AV1029" s="298">
        <f t="shared" si="74"/>
        <v>35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74195</v>
      </c>
      <c r="G1030" s="275">
        <v>53071</v>
      </c>
      <c r="H1030" s="275">
        <v>21932</v>
      </c>
      <c r="I1030" s="275">
        <v>82935</v>
      </c>
      <c r="J1030" s="275">
        <v>82935</v>
      </c>
      <c r="K1030" s="275">
        <v>103615</v>
      </c>
      <c r="L1030" s="275">
        <v>35848</v>
      </c>
      <c r="M1030" s="275">
        <v>20202</v>
      </c>
      <c r="N1030" s="275">
        <v>109058</v>
      </c>
      <c r="O1030" s="275">
        <v>719136</v>
      </c>
      <c r="P1030" s="275">
        <v>173230</v>
      </c>
      <c r="Q1030" s="275">
        <v>56314</v>
      </c>
      <c r="R1030" s="275">
        <v>22533</v>
      </c>
      <c r="S1030" s="275">
        <v>390</v>
      </c>
      <c r="T1030" s="275">
        <v>2</v>
      </c>
      <c r="U1030" s="275">
        <v>40950</v>
      </c>
      <c r="V1030" s="275">
        <v>39294</v>
      </c>
      <c r="W1030" s="275">
        <v>46577</v>
      </c>
      <c r="X1030" s="275">
        <v>58550</v>
      </c>
      <c r="Y1030" s="275">
        <v>16553</v>
      </c>
      <c r="Z1030" s="275">
        <f ca="1">[1]ExtEntry!$P38</f>
        <v>16553</v>
      </c>
      <c r="AB1030" s="298">
        <v>85</v>
      </c>
      <c r="AC1030" s="298">
        <v>76</v>
      </c>
      <c r="AD1030" s="298">
        <v>76</v>
      </c>
      <c r="AE1030" s="271">
        <v>81</v>
      </c>
      <c r="AF1030" s="271">
        <v>81</v>
      </c>
      <c r="AG1030" s="271">
        <v>87</v>
      </c>
      <c r="AH1030" s="271">
        <v>79</v>
      </c>
      <c r="AI1030" s="271">
        <v>80</v>
      </c>
      <c r="AJ1030" s="271">
        <v>84</v>
      </c>
      <c r="AK1030" s="271">
        <v>85</v>
      </c>
      <c r="AL1030" s="271">
        <v>84</v>
      </c>
      <c r="AM1030" s="271">
        <v>74</v>
      </c>
      <c r="AN1030" s="271">
        <v>74</v>
      </c>
      <c r="AO1030" s="298">
        <v>63</v>
      </c>
      <c r="AP1030" s="298">
        <v>46</v>
      </c>
      <c r="AQ1030" s="298">
        <v>49</v>
      </c>
      <c r="AR1030" s="298">
        <v>46</v>
      </c>
      <c r="AS1030" s="298">
        <v>48</v>
      </c>
      <c r="AT1030" s="298">
        <v>51</v>
      </c>
      <c r="AU1030" s="298">
        <v>43</v>
      </c>
      <c r="AV1030" s="298">
        <f t="shared" si="74"/>
        <v>43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439487</v>
      </c>
      <c r="G1031" s="275">
        <v>201324</v>
      </c>
      <c r="H1031" s="275">
        <v>294460</v>
      </c>
      <c r="I1031" s="275">
        <v>524703</v>
      </c>
      <c r="J1031" s="275">
        <v>524703</v>
      </c>
      <c r="K1031" s="275">
        <v>1079813</v>
      </c>
      <c r="L1031" s="275">
        <v>885158</v>
      </c>
      <c r="M1031" s="275">
        <v>767331</v>
      </c>
      <c r="N1031" s="275">
        <v>660443</v>
      </c>
      <c r="O1031" s="275">
        <v>234630</v>
      </c>
      <c r="P1031" s="275">
        <v>846491</v>
      </c>
      <c r="Q1031" s="275">
        <v>154628</v>
      </c>
      <c r="R1031" s="275">
        <v>97558</v>
      </c>
      <c r="S1031" s="275">
        <v>5</v>
      </c>
      <c r="T1031" s="275">
        <v>914</v>
      </c>
      <c r="U1031" s="275">
        <v>841114</v>
      </c>
      <c r="V1031" s="275">
        <v>972311</v>
      </c>
      <c r="W1031" s="275">
        <v>637219</v>
      </c>
      <c r="X1031" s="275">
        <v>587542</v>
      </c>
      <c r="Y1031" s="275">
        <v>379170</v>
      </c>
      <c r="Z1031" s="275">
        <f ca="1">[1]ExtEntry!$P39</f>
        <v>379170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86</v>
      </c>
      <c r="AG1031" s="271">
        <v>90</v>
      </c>
      <c r="AH1031" s="271">
        <v>84</v>
      </c>
      <c r="AI1031" s="271">
        <v>85</v>
      </c>
      <c r="AJ1031" s="271">
        <v>74</v>
      </c>
      <c r="AK1031" s="271">
        <v>74</v>
      </c>
      <c r="AL1031" s="271">
        <v>71</v>
      </c>
      <c r="AM1031" s="271">
        <v>68</v>
      </c>
      <c r="AN1031" s="271">
        <v>68</v>
      </c>
      <c r="AO1031" s="298">
        <v>68</v>
      </c>
      <c r="AP1031" s="298">
        <v>64</v>
      </c>
      <c r="AQ1031" s="298">
        <v>59</v>
      </c>
      <c r="AR1031" s="298">
        <v>38</v>
      </c>
      <c r="AS1031" s="298">
        <v>42</v>
      </c>
      <c r="AT1031" s="298">
        <v>49</v>
      </c>
      <c r="AU1031" s="298">
        <v>41</v>
      </c>
      <c r="AV1031" s="298">
        <f t="shared" si="74"/>
        <v>41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5536516</v>
      </c>
      <c r="G1032" s="275">
        <v>1017971</v>
      </c>
      <c r="H1032" s="275">
        <v>907366</v>
      </c>
      <c r="I1032" s="275">
        <v>1182054</v>
      </c>
      <c r="J1032" s="275">
        <v>1182054</v>
      </c>
      <c r="K1032" s="275">
        <v>1105584</v>
      </c>
      <c r="L1032" s="275">
        <v>1591290</v>
      </c>
      <c r="M1032" s="275">
        <v>1523849</v>
      </c>
      <c r="N1032" s="275">
        <v>879083</v>
      </c>
      <c r="O1032" s="275">
        <v>815961</v>
      </c>
      <c r="P1032" s="275">
        <v>464476</v>
      </c>
      <c r="Q1032" s="275">
        <v>690047</v>
      </c>
      <c r="R1032" s="275">
        <v>556261</v>
      </c>
      <c r="S1032" s="275">
        <v>535491</v>
      </c>
      <c r="T1032" s="275">
        <v>461207</v>
      </c>
      <c r="U1032" s="275">
        <v>2035799</v>
      </c>
      <c r="V1032" s="275">
        <v>1166776</v>
      </c>
      <c r="W1032" s="275">
        <v>1197527</v>
      </c>
      <c r="X1032" s="275">
        <v>1361072</v>
      </c>
      <c r="Y1032" s="275">
        <v>1265529</v>
      </c>
      <c r="Z1032" s="275">
        <f ca="1">[1]ExtEntry!$P40</f>
        <v>1265529</v>
      </c>
      <c r="AB1032" s="298">
        <v>28</v>
      </c>
      <c r="AC1032" s="298">
        <v>27</v>
      </c>
      <c r="AD1032" s="298">
        <v>27</v>
      </c>
      <c r="AE1032" s="271">
        <v>43</v>
      </c>
      <c r="AF1032" s="271">
        <v>45</v>
      </c>
      <c r="AG1032" s="271">
        <v>50</v>
      </c>
      <c r="AH1032" s="271">
        <v>46</v>
      </c>
      <c r="AI1032" s="271">
        <v>47</v>
      </c>
      <c r="AJ1032" s="271">
        <v>47</v>
      </c>
      <c r="AK1032" s="271">
        <v>45</v>
      </c>
      <c r="AL1032" s="271">
        <v>44</v>
      </c>
      <c r="AM1032" s="271">
        <v>35</v>
      </c>
      <c r="AN1032" s="271">
        <v>35</v>
      </c>
      <c r="AO1032" s="298">
        <v>34</v>
      </c>
      <c r="AP1032" s="298">
        <v>59</v>
      </c>
      <c r="AQ1032" s="298">
        <v>62</v>
      </c>
      <c r="AR1032" s="298">
        <v>57</v>
      </c>
      <c r="AS1032" s="298">
        <v>58</v>
      </c>
      <c r="AT1032" s="298">
        <v>56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1095604</v>
      </c>
      <c r="G1033" s="275">
        <v>765816</v>
      </c>
      <c r="H1033" s="275">
        <v>529987</v>
      </c>
      <c r="I1033" s="275">
        <v>1197002</v>
      </c>
      <c r="J1033" s="275">
        <v>1197002</v>
      </c>
      <c r="K1033" s="275">
        <v>1304126</v>
      </c>
      <c r="L1033" s="275">
        <v>838506</v>
      </c>
      <c r="M1033" s="275">
        <v>2208166</v>
      </c>
      <c r="N1033" s="275">
        <v>1087706</v>
      </c>
      <c r="O1033" s="275">
        <v>447924</v>
      </c>
      <c r="P1033" s="275">
        <v>299328</v>
      </c>
      <c r="Q1033" s="275">
        <v>723162</v>
      </c>
      <c r="R1033" s="275">
        <v>373665</v>
      </c>
      <c r="S1033" s="275">
        <v>215373</v>
      </c>
      <c r="T1033" s="275">
        <v>206625</v>
      </c>
      <c r="U1033" s="275">
        <v>1277894</v>
      </c>
      <c r="V1033" s="275">
        <v>1058827</v>
      </c>
      <c r="W1033" s="275">
        <v>2344014</v>
      </c>
      <c r="X1033" s="275">
        <v>1974628</v>
      </c>
      <c r="Y1033" s="275">
        <v>1360689</v>
      </c>
      <c r="Z1033" s="275">
        <f ca="1">[1]ExtEntry!$P41</f>
        <v>1360689</v>
      </c>
      <c r="AB1033" s="298">
        <v>25</v>
      </c>
      <c r="AC1033" s="298">
        <v>31</v>
      </c>
      <c r="AD1033" s="298">
        <v>31</v>
      </c>
      <c r="AE1033" s="271">
        <v>30</v>
      </c>
      <c r="AF1033" s="271">
        <v>31</v>
      </c>
      <c r="AG1033" s="271">
        <v>29</v>
      </c>
      <c r="AH1033" s="271">
        <v>23</v>
      </c>
      <c r="AI1033" s="271">
        <v>24</v>
      </c>
      <c r="AJ1033" s="271">
        <v>35</v>
      </c>
      <c r="AK1033" s="271">
        <v>40</v>
      </c>
      <c r="AL1033" s="271">
        <v>42</v>
      </c>
      <c r="AM1033" s="271">
        <v>33</v>
      </c>
      <c r="AN1033" s="271">
        <v>33</v>
      </c>
      <c r="AO1033" s="298">
        <v>60</v>
      </c>
      <c r="AP1033" s="298">
        <v>50</v>
      </c>
      <c r="AQ1033" s="298">
        <v>56</v>
      </c>
      <c r="AR1033" s="298">
        <v>57</v>
      </c>
      <c r="AS1033" s="298">
        <v>45</v>
      </c>
      <c r="AT1033" s="298">
        <v>40</v>
      </c>
      <c r="AU1033" s="298">
        <v>46</v>
      </c>
      <c r="AV1033" s="298">
        <f t="shared" si="74"/>
        <v>46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149779</v>
      </c>
      <c r="G1034" s="275">
        <v>52794</v>
      </c>
      <c r="H1034" s="275">
        <v>48620</v>
      </c>
      <c r="I1034" s="275">
        <v>818632</v>
      </c>
      <c r="J1034" s="275">
        <v>818632</v>
      </c>
      <c r="K1034" s="275">
        <v>181992</v>
      </c>
      <c r="L1034" s="275">
        <v>285494</v>
      </c>
      <c r="M1034" s="275">
        <v>292445</v>
      </c>
      <c r="N1034" s="275">
        <v>135857</v>
      </c>
      <c r="O1034" s="275">
        <v>41259</v>
      </c>
      <c r="P1034" s="275">
        <v>190063</v>
      </c>
      <c r="Q1034" s="275">
        <v>118634</v>
      </c>
      <c r="R1034" s="275">
        <v>72863</v>
      </c>
      <c r="S1034" s="275">
        <v>341604</v>
      </c>
      <c r="T1034" s="275">
        <v>34000</v>
      </c>
      <c r="U1034" s="275">
        <v>454474</v>
      </c>
      <c r="V1034" s="275">
        <v>192834</v>
      </c>
      <c r="W1034" s="275">
        <v>173586</v>
      </c>
      <c r="X1034" s="275">
        <v>286831</v>
      </c>
      <c r="Y1034" s="275">
        <v>161717</v>
      </c>
      <c r="Z1034" s="275">
        <f ca="1">[1]ExtEntry!$P42</f>
        <v>161717</v>
      </c>
      <c r="AB1034" s="298">
        <v>42</v>
      </c>
      <c r="AC1034" s="298">
        <v>33</v>
      </c>
      <c r="AD1034" s="298">
        <v>33</v>
      </c>
      <c r="AE1034" s="271">
        <v>23</v>
      </c>
      <c r="AF1034" s="271">
        <v>31</v>
      </c>
      <c r="AG1034" s="271">
        <v>43</v>
      </c>
      <c r="AH1034" s="271">
        <v>51</v>
      </c>
      <c r="AI1034" s="271">
        <v>69</v>
      </c>
      <c r="AJ1034" s="271">
        <v>61</v>
      </c>
      <c r="AK1034" s="271">
        <v>66</v>
      </c>
      <c r="AL1034" s="271">
        <v>49</v>
      </c>
      <c r="AM1034" s="271">
        <v>48</v>
      </c>
      <c r="AN1034" s="271">
        <v>48</v>
      </c>
      <c r="AO1034" s="298">
        <v>43</v>
      </c>
      <c r="AP1034" s="298">
        <v>33</v>
      </c>
      <c r="AQ1034" s="298">
        <v>34</v>
      </c>
      <c r="AR1034" s="298">
        <v>30</v>
      </c>
      <c r="AS1034" s="298">
        <v>31</v>
      </c>
      <c r="AT1034" s="298">
        <v>37</v>
      </c>
      <c r="AU1034" s="298">
        <v>33</v>
      </c>
      <c r="AV1034" s="298">
        <f t="shared" si="74"/>
        <v>33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963554</v>
      </c>
      <c r="G1035" s="275">
        <v>210200</v>
      </c>
      <c r="H1035" s="275">
        <v>106119</v>
      </c>
      <c r="I1035" s="275">
        <v>4777372</v>
      </c>
      <c r="J1035" s="275">
        <v>4777372</v>
      </c>
      <c r="K1035" s="275">
        <v>2240410</v>
      </c>
      <c r="L1035" s="275">
        <v>959551</v>
      </c>
      <c r="M1035" s="275">
        <v>814142</v>
      </c>
      <c r="N1035" s="275">
        <v>1326427</v>
      </c>
      <c r="O1035" s="275">
        <v>234699</v>
      </c>
      <c r="P1035" s="275">
        <v>939822</v>
      </c>
      <c r="Q1035" s="275">
        <v>335745</v>
      </c>
      <c r="R1035" s="275">
        <v>57424</v>
      </c>
      <c r="S1035" s="275">
        <v>2354</v>
      </c>
      <c r="T1035" s="275">
        <v>2905</v>
      </c>
      <c r="U1035" s="275">
        <v>548458</v>
      </c>
      <c r="V1035" s="275">
        <v>838630</v>
      </c>
      <c r="W1035" s="275">
        <v>1336388</v>
      </c>
      <c r="X1035" s="275">
        <v>525694</v>
      </c>
      <c r="Y1035" s="275">
        <v>627830</v>
      </c>
      <c r="Z1035" s="275">
        <f ca="1">[1]ExtEntry!$P43</f>
        <v>627830</v>
      </c>
      <c r="AB1035" s="298">
        <v>28</v>
      </c>
      <c r="AC1035" s="298">
        <v>24</v>
      </c>
      <c r="AD1035" s="298">
        <v>24</v>
      </c>
      <c r="AE1035" s="271">
        <v>44</v>
      </c>
      <c r="AF1035" s="271">
        <v>54</v>
      </c>
      <c r="AG1035" s="271">
        <v>50</v>
      </c>
      <c r="AH1035" s="271">
        <v>49</v>
      </c>
      <c r="AI1035" s="271">
        <v>48</v>
      </c>
      <c r="AJ1035" s="271">
        <v>52</v>
      </c>
      <c r="AK1035" s="271">
        <v>54</v>
      </c>
      <c r="AL1035" s="271">
        <v>49</v>
      </c>
      <c r="AM1035" s="271">
        <v>46</v>
      </c>
      <c r="AN1035" s="271">
        <v>46</v>
      </c>
      <c r="AO1035" s="298">
        <v>41</v>
      </c>
      <c r="AP1035" s="298">
        <v>60</v>
      </c>
      <c r="AQ1035" s="298">
        <v>60</v>
      </c>
      <c r="AR1035" s="298">
        <v>59</v>
      </c>
      <c r="AS1035" s="298">
        <v>42</v>
      </c>
      <c r="AT1035" s="298">
        <v>19</v>
      </c>
      <c r="AU1035" s="298">
        <v>20</v>
      </c>
      <c r="AV1035" s="298">
        <f t="shared" si="74"/>
        <v>20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44815115</v>
      </c>
      <c r="G1036" s="275">
        <v>26667774</v>
      </c>
      <c r="H1036" s="275">
        <v>19098001</v>
      </c>
      <c r="I1036" s="275">
        <v>66534279</v>
      </c>
      <c r="J1036" s="275">
        <v>66534279</v>
      </c>
      <c r="K1036" s="275">
        <v>77222808</v>
      </c>
      <c r="L1036" s="275">
        <v>86306398</v>
      </c>
      <c r="M1036" s="275">
        <v>75954952</v>
      </c>
      <c r="N1036" s="275">
        <v>64852745</v>
      </c>
      <c r="O1036" s="275">
        <v>27714263</v>
      </c>
      <c r="P1036" s="275">
        <v>81145660</v>
      </c>
      <c r="Q1036" s="275">
        <v>29113457</v>
      </c>
      <c r="R1036" s="275">
        <v>18829475</v>
      </c>
      <c r="S1036" s="275">
        <v>318015</v>
      </c>
      <c r="T1036" s="275">
        <v>2980308</v>
      </c>
      <c r="U1036" s="275">
        <v>74977886</v>
      </c>
      <c r="V1036" s="275">
        <v>53613473</v>
      </c>
      <c r="W1036" s="275">
        <v>71903120</v>
      </c>
      <c r="X1036" s="275">
        <v>95558642</v>
      </c>
      <c r="Y1036" s="275">
        <v>167018534</v>
      </c>
      <c r="Z1036" s="275">
        <f ca="1">[1]ExtEntry!$P44</f>
        <v>167018534</v>
      </c>
      <c r="AB1036" s="298">
        <v>33</v>
      </c>
      <c r="AC1036" s="298">
        <v>29</v>
      </c>
      <c r="AD1036" s="298">
        <v>29</v>
      </c>
      <c r="AE1036" s="271">
        <v>40</v>
      </c>
      <c r="AF1036" s="271">
        <v>27</v>
      </c>
      <c r="AG1036" s="271">
        <v>13</v>
      </c>
      <c r="AH1036" s="271">
        <v>23</v>
      </c>
      <c r="AI1036" s="271">
        <v>33</v>
      </c>
      <c r="AJ1036" s="271">
        <v>35</v>
      </c>
      <c r="AK1036" s="271">
        <v>36</v>
      </c>
      <c r="AL1036" s="271">
        <v>25</v>
      </c>
      <c r="AM1036" s="271">
        <v>23</v>
      </c>
      <c r="AN1036" s="271">
        <v>23</v>
      </c>
      <c r="AO1036" s="298">
        <v>24</v>
      </c>
      <c r="AP1036" s="298">
        <v>37</v>
      </c>
      <c r="AQ1036" s="298">
        <v>36</v>
      </c>
      <c r="AR1036" s="298">
        <v>34</v>
      </c>
      <c r="AS1036" s="298">
        <v>38</v>
      </c>
      <c r="AT1036" s="298">
        <v>57</v>
      </c>
      <c r="AU1036" s="298">
        <v>71</v>
      </c>
      <c r="AV1036" s="298">
        <f t="shared" si="74"/>
        <v>71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4268846</v>
      </c>
      <c r="G1037" s="275">
        <v>3076746</v>
      </c>
      <c r="H1037" s="275">
        <v>2290990</v>
      </c>
      <c r="I1037" s="275">
        <v>10224893</v>
      </c>
      <c r="J1037" s="275">
        <v>10224893</v>
      </c>
      <c r="K1037" s="275">
        <v>17130366</v>
      </c>
      <c r="L1037" s="275">
        <v>7636047</v>
      </c>
      <c r="M1037" s="275">
        <v>9756688</v>
      </c>
      <c r="N1037" s="275">
        <v>9397766</v>
      </c>
      <c r="O1037" s="275">
        <v>4093419</v>
      </c>
      <c r="P1037" s="275">
        <v>15526018</v>
      </c>
      <c r="Q1037" s="275">
        <v>6912902</v>
      </c>
      <c r="R1037" s="275">
        <v>1478745</v>
      </c>
      <c r="S1037" s="275">
        <v>21450</v>
      </c>
      <c r="T1037" s="275">
        <v>214211</v>
      </c>
      <c r="U1037" s="275">
        <v>12972356</v>
      </c>
      <c r="V1037" s="275">
        <v>13302979</v>
      </c>
      <c r="W1037" s="275">
        <v>18799220</v>
      </c>
      <c r="X1037" s="275">
        <v>8916199</v>
      </c>
      <c r="Y1037" s="275">
        <v>8477627</v>
      </c>
      <c r="Z1037" s="275">
        <f ca="1">[1]ExtEntry!$P45</f>
        <v>8477627</v>
      </c>
      <c r="AB1037" s="298">
        <v>44</v>
      </c>
      <c r="AC1037" s="298">
        <v>35</v>
      </c>
      <c r="AD1037" s="298">
        <v>35</v>
      </c>
      <c r="AE1037" s="271">
        <v>23</v>
      </c>
      <c r="AF1037" s="271">
        <v>14</v>
      </c>
      <c r="AG1037" s="271">
        <v>14</v>
      </c>
      <c r="AH1037" s="271">
        <v>16</v>
      </c>
      <c r="AI1037" s="271">
        <v>20</v>
      </c>
      <c r="AJ1037" s="271">
        <v>24</v>
      </c>
      <c r="AK1037" s="271">
        <v>27</v>
      </c>
      <c r="AL1037" s="271">
        <v>20</v>
      </c>
      <c r="AM1037" s="271">
        <v>21</v>
      </c>
      <c r="AN1037" s="271">
        <v>21</v>
      </c>
      <c r="AO1037" s="298">
        <v>21</v>
      </c>
      <c r="AP1037" s="298">
        <v>33</v>
      </c>
      <c r="AQ1037" s="298">
        <v>39</v>
      </c>
      <c r="AR1037" s="298">
        <v>41</v>
      </c>
      <c r="AS1037" s="298">
        <v>57</v>
      </c>
      <c r="AT1037" s="298">
        <v>63</v>
      </c>
      <c r="AU1037" s="298">
        <v>69</v>
      </c>
      <c r="AV1037" s="298">
        <f t="shared" si="74"/>
        <v>69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90</v>
      </c>
      <c r="G1038" s="275">
        <v>10</v>
      </c>
      <c r="H1038" s="275">
        <v>2</v>
      </c>
      <c r="I1038" s="275">
        <v>454</v>
      </c>
      <c r="J1038" s="275">
        <v>454</v>
      </c>
      <c r="K1038" s="275">
        <v>25</v>
      </c>
      <c r="L1038" s="275">
        <v>101</v>
      </c>
      <c r="M1038" s="275">
        <v>110</v>
      </c>
      <c r="N1038" s="275">
        <v>37</v>
      </c>
      <c r="O1038" s="275">
        <v>37</v>
      </c>
      <c r="P1038" s="275">
        <v>7</v>
      </c>
      <c r="Q1038" s="275">
        <v>12</v>
      </c>
      <c r="R1038" s="275">
        <v>107</v>
      </c>
      <c r="S1038" s="275">
        <v>35</v>
      </c>
      <c r="T1038" s="275">
        <v>3</v>
      </c>
      <c r="U1038" s="275">
        <v>79</v>
      </c>
      <c r="V1038" s="275">
        <v>28</v>
      </c>
      <c r="W1038" s="275">
        <v>55</v>
      </c>
      <c r="X1038" s="275">
        <v>54</v>
      </c>
      <c r="Y1038" s="275">
        <v>251</v>
      </c>
      <c r="Z1038" s="275">
        <f ca="1">[1]ExtEntry!$P46</f>
        <v>251</v>
      </c>
      <c r="AB1038" s="298">
        <v>58</v>
      </c>
      <c r="AC1038" s="298">
        <v>56</v>
      </c>
      <c r="AD1038" s="298">
        <v>56</v>
      </c>
      <c r="AE1038" s="271">
        <v>51</v>
      </c>
      <c r="AF1038" s="271">
        <v>50</v>
      </c>
      <c r="AG1038" s="271">
        <v>51</v>
      </c>
      <c r="AH1038" s="271">
        <v>62</v>
      </c>
      <c r="AI1038" s="271">
        <v>57</v>
      </c>
      <c r="AJ1038" s="271">
        <v>53</v>
      </c>
      <c r="AK1038" s="271">
        <v>53</v>
      </c>
      <c r="AL1038" s="271">
        <v>52</v>
      </c>
      <c r="AM1038" s="271">
        <v>49</v>
      </c>
      <c r="AN1038" s="271">
        <v>49</v>
      </c>
      <c r="AO1038" s="298">
        <v>33</v>
      </c>
      <c r="AP1038" s="298">
        <v>47</v>
      </c>
      <c r="AQ1038" s="298">
        <v>41</v>
      </c>
      <c r="AR1038" s="298">
        <v>47</v>
      </c>
      <c r="AS1038" s="298">
        <v>53</v>
      </c>
      <c r="AT1038" s="298">
        <v>49</v>
      </c>
      <c r="AU1038" s="298">
        <v>53</v>
      </c>
      <c r="AV1038" s="298">
        <f t="shared" si="74"/>
        <v>53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569745</v>
      </c>
      <c r="G1039" s="275">
        <v>494465</v>
      </c>
      <c r="H1039" s="275">
        <v>160418</v>
      </c>
      <c r="I1039" s="275">
        <v>1419512</v>
      </c>
      <c r="J1039" s="275">
        <v>1419512</v>
      </c>
      <c r="K1039" s="275">
        <v>2223640</v>
      </c>
      <c r="L1039" s="275">
        <v>3771964</v>
      </c>
      <c r="M1039" s="275">
        <v>9830624</v>
      </c>
      <c r="N1039" s="275">
        <v>3224186</v>
      </c>
      <c r="O1039" s="275">
        <v>436115</v>
      </c>
      <c r="P1039" s="275">
        <v>1428564</v>
      </c>
      <c r="Q1039" s="275">
        <v>673403</v>
      </c>
      <c r="R1039" s="275">
        <v>538334</v>
      </c>
      <c r="S1039" s="275">
        <v>11</v>
      </c>
      <c r="T1039" s="275">
        <v>125</v>
      </c>
      <c r="U1039" s="275">
        <v>9156793</v>
      </c>
      <c r="V1039" s="275">
        <v>3073370</v>
      </c>
      <c r="W1039" s="275">
        <v>4373465</v>
      </c>
      <c r="X1039" s="275">
        <v>2280003</v>
      </c>
      <c r="Y1039" s="275">
        <v>1770289</v>
      </c>
      <c r="Z1039" s="275">
        <f ca="1">[1]ExtEntry!$P47</f>
        <v>1770289</v>
      </c>
      <c r="AB1039" s="298">
        <v>34</v>
      </c>
      <c r="AC1039" s="298">
        <v>15</v>
      </c>
      <c r="AD1039" s="298">
        <v>15</v>
      </c>
      <c r="AE1039" s="271">
        <v>5</v>
      </c>
      <c r="AF1039" s="271">
        <v>4</v>
      </c>
      <c r="AG1039" s="271">
        <v>4</v>
      </c>
      <c r="AH1039" s="271">
        <v>4</v>
      </c>
      <c r="AI1039" s="271">
        <v>11</v>
      </c>
      <c r="AJ1039" s="271">
        <v>16</v>
      </c>
      <c r="AK1039" s="271">
        <v>23</v>
      </c>
      <c r="AL1039" s="271">
        <v>24</v>
      </c>
      <c r="AM1039" s="271">
        <v>31</v>
      </c>
      <c r="AN1039" s="271">
        <v>31</v>
      </c>
      <c r="AO1039" s="298">
        <v>33</v>
      </c>
      <c r="AP1039" s="298">
        <v>46</v>
      </c>
      <c r="AQ1039" s="298">
        <v>65</v>
      </c>
      <c r="AR1039" s="298">
        <v>66</v>
      </c>
      <c r="AS1039" s="298">
        <v>60</v>
      </c>
      <c r="AT1039" s="298">
        <v>65</v>
      </c>
      <c r="AU1039" s="298">
        <v>64</v>
      </c>
      <c r="AV1039" s="298">
        <f t="shared" si="74"/>
        <v>64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7642607</v>
      </c>
      <c r="G1040" s="275">
        <v>6406585</v>
      </c>
      <c r="H1040" s="275">
        <v>4540437</v>
      </c>
      <c r="I1040" s="275">
        <v>14745394</v>
      </c>
      <c r="J1040" s="275">
        <v>14745394</v>
      </c>
      <c r="K1040" s="275">
        <v>23570525</v>
      </c>
      <c r="L1040" s="275">
        <v>15111814</v>
      </c>
      <c r="M1040" s="275">
        <v>25660624</v>
      </c>
      <c r="N1040" s="275">
        <v>13745968</v>
      </c>
      <c r="O1040" s="275">
        <v>6763686</v>
      </c>
      <c r="P1040" s="275">
        <v>21610682</v>
      </c>
      <c r="Q1040" s="275">
        <v>9168437</v>
      </c>
      <c r="R1040" s="275">
        <v>3934282</v>
      </c>
      <c r="S1040" s="275">
        <v>105001</v>
      </c>
      <c r="T1040" s="275">
        <v>4989524</v>
      </c>
      <c r="U1040" s="275">
        <v>42602648</v>
      </c>
      <c r="V1040" s="275">
        <v>26407517</v>
      </c>
      <c r="W1040" s="275">
        <v>51005103</v>
      </c>
      <c r="X1040" s="275">
        <v>24284063</v>
      </c>
      <c r="Y1040" s="275">
        <v>31063751</v>
      </c>
      <c r="Z1040" s="275">
        <f ca="1">[1]ExtEntry!$P48</f>
        <v>31063751</v>
      </c>
      <c r="AB1040" s="298">
        <v>58</v>
      </c>
      <c r="AC1040" s="298">
        <v>48</v>
      </c>
      <c r="AD1040" s="298">
        <v>48</v>
      </c>
      <c r="AE1040" s="271">
        <v>31</v>
      </c>
      <c r="AF1040" s="271">
        <v>26</v>
      </c>
      <c r="AG1040" s="271">
        <v>21</v>
      </c>
      <c r="AH1040" s="271">
        <v>16</v>
      </c>
      <c r="AI1040" s="271">
        <v>23</v>
      </c>
      <c r="AJ1040" s="271">
        <v>27</v>
      </c>
      <c r="AK1040" s="271">
        <v>37</v>
      </c>
      <c r="AL1040" s="271">
        <v>28</v>
      </c>
      <c r="AM1040" s="271">
        <v>29</v>
      </c>
      <c r="AN1040" s="271">
        <v>29</v>
      </c>
      <c r="AO1040" s="298">
        <v>22</v>
      </c>
      <c r="AP1040" s="298">
        <v>31</v>
      </c>
      <c r="AQ1040" s="298">
        <v>43</v>
      </c>
      <c r="AR1040" s="298">
        <v>40</v>
      </c>
      <c r="AS1040" s="298">
        <v>64</v>
      </c>
      <c r="AT1040" s="298">
        <v>64</v>
      </c>
      <c r="AU1040" s="298">
        <v>66</v>
      </c>
      <c r="AV1040" s="298">
        <f t="shared" si="74"/>
        <v>66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22661</v>
      </c>
      <c r="G1041" s="275">
        <v>7723</v>
      </c>
      <c r="H1041" s="275">
        <v>9456</v>
      </c>
      <c r="I1041" s="275">
        <v>48317</v>
      </c>
      <c r="J1041" s="275">
        <v>48317</v>
      </c>
      <c r="K1041" s="275">
        <v>48101</v>
      </c>
      <c r="L1041" s="275">
        <v>62226</v>
      </c>
      <c r="M1041" s="275">
        <v>48799</v>
      </c>
      <c r="N1041" s="275">
        <v>46228</v>
      </c>
      <c r="O1041" s="275">
        <v>16754</v>
      </c>
      <c r="P1041" s="275">
        <v>51921</v>
      </c>
      <c r="Q1041" s="275">
        <v>12202</v>
      </c>
      <c r="R1041" s="275">
        <v>3063</v>
      </c>
      <c r="S1041" s="275">
        <v>62278</v>
      </c>
      <c r="T1041" s="275">
        <v>40630</v>
      </c>
      <c r="U1041" s="275">
        <v>39399</v>
      </c>
      <c r="V1041" s="275">
        <v>65129</v>
      </c>
      <c r="W1041" s="275">
        <v>35783</v>
      </c>
      <c r="X1041" s="275">
        <v>36385</v>
      </c>
      <c r="Y1041" s="275">
        <v>40024</v>
      </c>
      <c r="Z1041" s="275">
        <f ca="1">[1]ExtEntry!$P49</f>
        <v>40024</v>
      </c>
      <c r="AB1041" s="298">
        <v>65</v>
      </c>
      <c r="AC1041" s="298">
        <v>50</v>
      </c>
      <c r="AD1041" s="298">
        <v>50</v>
      </c>
      <c r="AE1041" s="271">
        <v>34</v>
      </c>
      <c r="AF1041" s="271">
        <v>38</v>
      </c>
      <c r="AG1041" s="271">
        <v>44</v>
      </c>
      <c r="AH1041" s="271">
        <v>42</v>
      </c>
      <c r="AI1041" s="271">
        <v>46</v>
      </c>
      <c r="AJ1041" s="271">
        <v>46</v>
      </c>
      <c r="AK1041" s="271">
        <v>53</v>
      </c>
      <c r="AL1041" s="271">
        <v>57</v>
      </c>
      <c r="AM1041" s="271">
        <v>42</v>
      </c>
      <c r="AN1041" s="271">
        <v>42</v>
      </c>
      <c r="AO1041" s="298">
        <v>33</v>
      </c>
      <c r="AP1041" s="298">
        <v>32</v>
      </c>
      <c r="AQ1041" s="298">
        <v>27</v>
      </c>
      <c r="AR1041" s="298">
        <v>31</v>
      </c>
      <c r="AS1041" s="298">
        <v>21</v>
      </c>
      <c r="AT1041" s="298">
        <v>18</v>
      </c>
      <c r="AU1041" s="298">
        <v>15</v>
      </c>
      <c r="AV1041" s="298">
        <f t="shared" si="74"/>
        <v>15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18222</v>
      </c>
      <c r="G1042" s="275">
        <v>11447</v>
      </c>
      <c r="H1042" s="275">
        <v>12009</v>
      </c>
      <c r="I1042" s="275">
        <v>24568</v>
      </c>
      <c r="J1042" s="275">
        <v>24568</v>
      </c>
      <c r="K1042" s="275">
        <v>39537</v>
      </c>
      <c r="L1042" s="275">
        <v>26178</v>
      </c>
      <c r="M1042" s="275">
        <v>34716</v>
      </c>
      <c r="N1042" s="275">
        <v>25997</v>
      </c>
      <c r="O1042" s="275">
        <v>9617</v>
      </c>
      <c r="P1042" s="275">
        <v>11798</v>
      </c>
      <c r="Q1042" s="275">
        <v>10171</v>
      </c>
      <c r="R1042" s="275">
        <v>4537</v>
      </c>
      <c r="S1042" s="275">
        <v>14158</v>
      </c>
      <c r="T1042" s="275">
        <v>15706</v>
      </c>
      <c r="U1042" s="275">
        <v>33569</v>
      </c>
      <c r="V1042" s="275">
        <v>22229</v>
      </c>
      <c r="W1042" s="275">
        <v>33104</v>
      </c>
      <c r="X1042" s="275">
        <v>22083</v>
      </c>
      <c r="Y1042" s="275">
        <v>23593</v>
      </c>
      <c r="Z1042" s="275">
        <f ca="1">[1]ExtEntry!$P50</f>
        <v>23593</v>
      </c>
      <c r="AB1042" s="298">
        <v>6</v>
      </c>
      <c r="AC1042" s="298">
        <v>4</v>
      </c>
      <c r="AD1042" s="298">
        <v>4</v>
      </c>
      <c r="AE1042" s="271">
        <v>44</v>
      </c>
      <c r="AF1042" s="271">
        <v>41</v>
      </c>
      <c r="AG1042" s="271">
        <v>49</v>
      </c>
      <c r="AH1042" s="271">
        <v>48</v>
      </c>
      <c r="AI1042" s="271">
        <v>47</v>
      </c>
      <c r="AJ1042" s="271">
        <v>50</v>
      </c>
      <c r="AK1042" s="271">
        <v>51</v>
      </c>
      <c r="AL1042" s="271">
        <v>56</v>
      </c>
      <c r="AM1042" s="271">
        <v>50</v>
      </c>
      <c r="AN1042" s="271">
        <v>50</v>
      </c>
      <c r="AO1042" s="298">
        <v>50</v>
      </c>
      <c r="AP1042" s="298">
        <v>66</v>
      </c>
      <c r="AQ1042" s="298">
        <v>69</v>
      </c>
      <c r="AR1042" s="298">
        <v>65</v>
      </c>
      <c r="AS1042" s="298">
        <v>58</v>
      </c>
      <c r="AT1042" s="298">
        <v>46</v>
      </c>
      <c r="AU1042" s="298">
        <v>53</v>
      </c>
      <c r="AV1042" s="298">
        <f t="shared" si="74"/>
        <v>53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4269513</v>
      </c>
      <c r="G1043" s="275">
        <v>1772418</v>
      </c>
      <c r="H1043" s="275">
        <v>2451634</v>
      </c>
      <c r="I1043" s="275">
        <v>4960077</v>
      </c>
      <c r="J1043" s="275">
        <v>4960077</v>
      </c>
      <c r="K1043" s="275">
        <v>6564413</v>
      </c>
      <c r="L1043" s="275">
        <v>5791270</v>
      </c>
      <c r="M1043" s="275">
        <v>9261669</v>
      </c>
      <c r="N1043" s="275">
        <v>7985767</v>
      </c>
      <c r="O1043" s="275">
        <v>1230946</v>
      </c>
      <c r="P1043" s="275">
        <v>8618813</v>
      </c>
      <c r="Q1043" s="275">
        <v>1782161</v>
      </c>
      <c r="R1043" s="275">
        <v>546767</v>
      </c>
      <c r="S1043" s="275">
        <v>54</v>
      </c>
      <c r="T1043" s="275">
        <v>1191</v>
      </c>
      <c r="U1043" s="275">
        <v>8808423</v>
      </c>
      <c r="V1043" s="275">
        <v>6182272</v>
      </c>
      <c r="W1043" s="275">
        <v>7505593</v>
      </c>
      <c r="X1043" s="275">
        <v>12587553</v>
      </c>
      <c r="Y1043" s="275">
        <v>12166836</v>
      </c>
      <c r="Z1043" s="275">
        <f ca="1">[1]ExtEntry!$P51</f>
        <v>12166836</v>
      </c>
      <c r="AB1043" s="298">
        <v>61</v>
      </c>
      <c r="AC1043" s="298">
        <v>56</v>
      </c>
      <c r="AD1043" s="298">
        <v>56</v>
      </c>
      <c r="AE1043" s="271">
        <v>57</v>
      </c>
      <c r="AF1043" s="271">
        <v>55</v>
      </c>
      <c r="AG1043" s="271">
        <v>59</v>
      </c>
      <c r="AH1043" s="271">
        <v>63</v>
      </c>
      <c r="AI1043" s="271">
        <v>68</v>
      </c>
      <c r="AJ1043" s="271">
        <v>67</v>
      </c>
      <c r="AK1043" s="271">
        <v>57</v>
      </c>
      <c r="AL1043" s="271">
        <v>61</v>
      </c>
      <c r="AM1043" s="271">
        <v>58</v>
      </c>
      <c r="AN1043" s="271">
        <v>58</v>
      </c>
      <c r="AO1043" s="298">
        <v>49</v>
      </c>
      <c r="AP1043" s="298">
        <v>23</v>
      </c>
      <c r="AQ1043" s="298">
        <v>26</v>
      </c>
      <c r="AR1043" s="298">
        <v>15</v>
      </c>
      <c r="AS1043" s="298">
        <v>12</v>
      </c>
      <c r="AT1043" s="298">
        <v>11</v>
      </c>
      <c r="AU1043" s="298">
        <v>10</v>
      </c>
      <c r="AV1043" s="298">
        <f t="shared" si="74"/>
        <v>10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1904291</v>
      </c>
      <c r="G1044" s="275">
        <v>4503633</v>
      </c>
      <c r="H1044" s="275">
        <v>587264</v>
      </c>
      <c r="I1044" s="275">
        <v>8114998</v>
      </c>
      <c r="J1044" s="275">
        <v>8114998</v>
      </c>
      <c r="K1044" s="275">
        <v>15353428</v>
      </c>
      <c r="L1044" s="275">
        <v>35986633</v>
      </c>
      <c r="M1044" s="275">
        <v>90372872</v>
      </c>
      <c r="N1044" s="275">
        <v>451769750</v>
      </c>
      <c r="O1044" s="275">
        <v>452081061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91</v>
      </c>
      <c r="AD1044" s="298">
        <v>91</v>
      </c>
      <c r="AE1044" s="271">
        <v>95</v>
      </c>
      <c r="AF1044" s="271">
        <v>95</v>
      </c>
      <c r="AG1044" s="271">
        <v>96</v>
      </c>
      <c r="AH1044" s="271">
        <v>77</v>
      </c>
      <c r="AI1044" s="271">
        <v>70</v>
      </c>
      <c r="AJ1044" s="271">
        <v>73</v>
      </c>
      <c r="AK1044" s="271">
        <v>75</v>
      </c>
      <c r="AL1044" s="271">
        <v>74</v>
      </c>
      <c r="AM1044" s="271">
        <v>73</v>
      </c>
      <c r="AN1044" s="271">
        <v>73</v>
      </c>
      <c r="AO1044" s="298">
        <v>72</v>
      </c>
      <c r="AP1044" s="298">
        <v>68</v>
      </c>
      <c r="AQ1044" s="298">
        <v>70</v>
      </c>
      <c r="AR1044" s="298">
        <v>68</v>
      </c>
      <c r="AS1044" s="298">
        <v>65</v>
      </c>
      <c r="AT1044" s="298">
        <v>61</v>
      </c>
      <c r="AU1044" s="298">
        <v>44</v>
      </c>
      <c r="AV1044" s="298">
        <f t="shared" si="74"/>
        <v>44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5072623</v>
      </c>
      <c r="G1045" s="275">
        <v>6712414</v>
      </c>
      <c r="H1045" s="275">
        <v>2151313</v>
      </c>
      <c r="I1045" s="275">
        <v>9321428</v>
      </c>
      <c r="J1045" s="275">
        <v>9321428</v>
      </c>
      <c r="K1045" s="275">
        <v>18956366</v>
      </c>
      <c r="L1045" s="275">
        <v>9742225</v>
      </c>
      <c r="M1045" s="275">
        <v>18135762</v>
      </c>
      <c r="N1045" s="275">
        <v>15254763</v>
      </c>
      <c r="O1045" s="275">
        <v>2795805</v>
      </c>
      <c r="P1045" s="275">
        <v>14597872</v>
      </c>
      <c r="Q1045" s="275">
        <v>3718483</v>
      </c>
      <c r="R1045" s="275">
        <v>2009822</v>
      </c>
      <c r="S1045" s="275">
        <v>2471</v>
      </c>
      <c r="T1045" s="275">
        <v>12258</v>
      </c>
      <c r="U1045" s="275">
        <v>15438855</v>
      </c>
      <c r="V1045" s="275">
        <v>14770027</v>
      </c>
      <c r="W1045" s="275">
        <v>15836561</v>
      </c>
      <c r="X1045" s="275">
        <v>8439851</v>
      </c>
      <c r="Y1045" s="275">
        <v>11097439</v>
      </c>
      <c r="Z1045" s="275">
        <f ca="1">[1]ExtEntry!$P53</f>
        <v>11097439</v>
      </c>
      <c r="AB1045" s="298">
        <v>47</v>
      </c>
      <c r="AC1045" s="298">
        <v>39</v>
      </c>
      <c r="AD1045" s="298">
        <v>39</v>
      </c>
      <c r="AE1045" s="271">
        <v>31</v>
      </c>
      <c r="AF1045" s="271">
        <v>35</v>
      </c>
      <c r="AG1045" s="271">
        <v>36</v>
      </c>
      <c r="AH1045" s="271">
        <v>42</v>
      </c>
      <c r="AI1045" s="271">
        <v>41</v>
      </c>
      <c r="AJ1045" s="271">
        <v>60</v>
      </c>
      <c r="AK1045" s="271">
        <v>78</v>
      </c>
      <c r="AL1045" s="271">
        <v>83</v>
      </c>
      <c r="AM1045" s="271">
        <v>85</v>
      </c>
      <c r="AN1045" s="271">
        <v>85</v>
      </c>
      <c r="AO1045" s="298">
        <v>63</v>
      </c>
      <c r="AP1045" s="298">
        <v>54</v>
      </c>
      <c r="AQ1045" s="298">
        <v>54</v>
      </c>
      <c r="AR1045" s="298">
        <v>56</v>
      </c>
      <c r="AS1045" s="298">
        <v>60</v>
      </c>
      <c r="AT1045" s="298">
        <v>58</v>
      </c>
      <c r="AU1045" s="298">
        <v>54</v>
      </c>
      <c r="AV1045" s="298">
        <f t="shared" si="74"/>
        <v>54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128263</v>
      </c>
      <c r="G1046" s="275">
        <v>118460</v>
      </c>
      <c r="H1046" s="275">
        <v>57496</v>
      </c>
      <c r="I1046" s="275">
        <v>424795</v>
      </c>
      <c r="J1046" s="275">
        <v>424795</v>
      </c>
      <c r="K1046" s="275">
        <v>459960</v>
      </c>
      <c r="L1046" s="275">
        <v>827228</v>
      </c>
      <c r="M1046" s="275">
        <v>628615</v>
      </c>
      <c r="N1046" s="275">
        <v>398867</v>
      </c>
      <c r="O1046" s="275">
        <v>56568</v>
      </c>
      <c r="P1046" s="275">
        <v>558148</v>
      </c>
      <c r="Q1046" s="275">
        <v>102664</v>
      </c>
      <c r="R1046" s="275">
        <v>40717</v>
      </c>
      <c r="S1046" s="275">
        <v>560474</v>
      </c>
      <c r="T1046" s="275">
        <v>3160</v>
      </c>
      <c r="U1046" s="275">
        <v>355173</v>
      </c>
      <c r="V1046" s="275">
        <v>372851</v>
      </c>
      <c r="W1046" s="275">
        <v>528793</v>
      </c>
      <c r="X1046" s="275">
        <v>348985</v>
      </c>
      <c r="Y1046" s="275">
        <v>430424</v>
      </c>
      <c r="Z1046" s="275">
        <f ca="1">[1]ExtEntry!$P54</f>
        <v>430424</v>
      </c>
      <c r="AB1046" s="298">
        <v>26</v>
      </c>
      <c r="AC1046" s="298">
        <v>15</v>
      </c>
      <c r="AD1046" s="298">
        <v>15</v>
      </c>
      <c r="AE1046" s="271">
        <v>19</v>
      </c>
      <c r="AF1046" s="271">
        <v>20</v>
      </c>
      <c r="AG1046" s="271">
        <v>19</v>
      </c>
      <c r="AH1046" s="271">
        <v>23</v>
      </c>
      <c r="AI1046" s="271">
        <v>22</v>
      </c>
      <c r="AJ1046" s="271">
        <v>29</v>
      </c>
      <c r="AK1046" s="271">
        <v>32</v>
      </c>
      <c r="AL1046" s="271">
        <v>32</v>
      </c>
      <c r="AM1046" s="271">
        <v>29</v>
      </c>
      <c r="AN1046" s="271">
        <v>29</v>
      </c>
      <c r="AO1046" s="298">
        <v>29</v>
      </c>
      <c r="AP1046" s="298">
        <v>45</v>
      </c>
      <c r="AQ1046" s="298">
        <v>46</v>
      </c>
      <c r="AR1046" s="298">
        <v>34</v>
      </c>
      <c r="AS1046" s="298">
        <v>30</v>
      </c>
      <c r="AT1046" s="298">
        <v>36</v>
      </c>
      <c r="AU1046" s="298">
        <v>38</v>
      </c>
      <c r="AV1046" s="298">
        <f t="shared" si="74"/>
        <v>38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1146</v>
      </c>
      <c r="G1047" s="275">
        <v>2670</v>
      </c>
      <c r="H1047" s="275">
        <v>2631</v>
      </c>
      <c r="I1047" s="275">
        <v>9317</v>
      </c>
      <c r="J1047" s="275">
        <v>9317</v>
      </c>
      <c r="K1047" s="275">
        <v>6046</v>
      </c>
      <c r="L1047" s="275">
        <v>2770</v>
      </c>
      <c r="M1047" s="275">
        <v>2640</v>
      </c>
      <c r="N1047" s="275">
        <v>3014</v>
      </c>
      <c r="O1047" s="275">
        <v>1271</v>
      </c>
      <c r="P1047" s="275">
        <v>8412</v>
      </c>
      <c r="Q1047" s="275">
        <v>4325</v>
      </c>
      <c r="R1047" s="275">
        <v>5080</v>
      </c>
      <c r="S1047" s="275">
        <v>621</v>
      </c>
      <c r="T1047" s="275">
        <v>1</v>
      </c>
      <c r="U1047" s="275">
        <v>1964</v>
      </c>
      <c r="V1047" s="275">
        <v>3956</v>
      </c>
      <c r="W1047" s="275">
        <v>9336</v>
      </c>
      <c r="X1047" s="275">
        <v>6003</v>
      </c>
      <c r="Y1047" s="275">
        <v>117</v>
      </c>
      <c r="Z1047" s="275">
        <f ca="1">[1]ExtEntry!$P55</f>
        <v>117</v>
      </c>
      <c r="AB1047" s="298">
        <v>43</v>
      </c>
      <c r="AC1047" s="298">
        <v>43</v>
      </c>
      <c r="AD1047" s="298">
        <v>43</v>
      </c>
      <c r="AE1047" s="271">
        <v>41</v>
      </c>
      <c r="AF1047" s="271">
        <v>33</v>
      </c>
      <c r="AG1047" s="271">
        <v>28</v>
      </c>
      <c r="AH1047" s="271">
        <v>26</v>
      </c>
      <c r="AI1047" s="271">
        <v>24</v>
      </c>
      <c r="AJ1047" s="271">
        <v>31</v>
      </c>
      <c r="AK1047" s="271">
        <v>36</v>
      </c>
      <c r="AL1047" s="271">
        <v>29</v>
      </c>
      <c r="AM1047" s="271">
        <v>28</v>
      </c>
      <c r="AN1047" s="271">
        <v>28</v>
      </c>
      <c r="AO1047" s="298">
        <v>22</v>
      </c>
      <c r="AP1047" s="298">
        <v>28</v>
      </c>
      <c r="AQ1047" s="298">
        <v>27</v>
      </c>
      <c r="AR1047" s="298">
        <v>31</v>
      </c>
      <c r="AS1047" s="298">
        <v>35</v>
      </c>
      <c r="AT1047" s="298">
        <v>34</v>
      </c>
      <c r="AU1047" s="298">
        <v>36</v>
      </c>
      <c r="AV1047" s="298">
        <f t="shared" si="74"/>
        <v>36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2982640</v>
      </c>
      <c r="G1048" s="275">
        <v>1412290</v>
      </c>
      <c r="H1048" s="275">
        <v>2890636</v>
      </c>
      <c r="I1048" s="275">
        <v>2511416</v>
      </c>
      <c r="J1048" s="275">
        <v>2511416</v>
      </c>
      <c r="K1048" s="275">
        <v>2874234</v>
      </c>
      <c r="L1048" s="275">
        <v>3214368</v>
      </c>
      <c r="M1048" s="275">
        <v>3510679</v>
      </c>
      <c r="N1048" s="275">
        <v>16903911</v>
      </c>
      <c r="O1048" s="275">
        <v>2272490</v>
      </c>
      <c r="P1048" s="275">
        <v>3511918</v>
      </c>
      <c r="Q1048" s="275">
        <v>1203315</v>
      </c>
      <c r="R1048" s="275">
        <v>478443</v>
      </c>
      <c r="S1048" s="275">
        <v>1196</v>
      </c>
      <c r="T1048" s="275">
        <v>17757</v>
      </c>
      <c r="U1048" s="275">
        <v>2287956</v>
      </c>
      <c r="V1048" s="275">
        <v>2077533</v>
      </c>
      <c r="W1048" s="275">
        <v>2657353</v>
      </c>
      <c r="X1048" s="275">
        <v>2785052</v>
      </c>
      <c r="Y1048" s="275">
        <v>1941002</v>
      </c>
      <c r="Z1048" s="275">
        <f ca="1">[1]ExtEntry!$P56</f>
        <v>1941002</v>
      </c>
      <c r="AB1048" s="298">
        <v>66</v>
      </c>
      <c r="AC1048" s="298">
        <v>50</v>
      </c>
      <c r="AD1048" s="298">
        <v>50</v>
      </c>
      <c r="AE1048" s="271">
        <v>46</v>
      </c>
      <c r="AF1048" s="271">
        <v>46</v>
      </c>
      <c r="AG1048" s="271">
        <v>47</v>
      </c>
      <c r="AH1048" s="271">
        <v>50</v>
      </c>
      <c r="AI1048" s="271">
        <v>50</v>
      </c>
      <c r="AJ1048" s="271">
        <v>63</v>
      </c>
      <c r="AK1048" s="271">
        <v>59</v>
      </c>
      <c r="AL1048" s="271">
        <v>55</v>
      </c>
      <c r="AM1048" s="271">
        <v>50</v>
      </c>
      <c r="AN1048" s="271">
        <v>50</v>
      </c>
      <c r="AO1048" s="298">
        <v>31</v>
      </c>
      <c r="AP1048" s="298">
        <v>37</v>
      </c>
      <c r="AQ1048" s="298">
        <v>39</v>
      </c>
      <c r="AR1048" s="298">
        <v>38</v>
      </c>
      <c r="AS1048" s="298">
        <v>43</v>
      </c>
      <c r="AT1048" s="298">
        <v>52</v>
      </c>
      <c r="AU1048" s="298">
        <v>51</v>
      </c>
      <c r="AV1048" s="298">
        <f t="shared" si="74"/>
        <v>51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1450463</v>
      </c>
      <c r="G1049" s="275">
        <v>544397</v>
      </c>
      <c r="H1049" s="275">
        <v>261300</v>
      </c>
      <c r="I1049" s="275">
        <v>1577912</v>
      </c>
      <c r="J1049" s="275">
        <v>1577912</v>
      </c>
      <c r="K1049" s="275">
        <v>1158360</v>
      </c>
      <c r="L1049" s="275">
        <v>827550</v>
      </c>
      <c r="M1049" s="275">
        <v>3173660</v>
      </c>
      <c r="N1049" s="275">
        <v>1596144</v>
      </c>
      <c r="O1049" s="275">
        <v>532110</v>
      </c>
      <c r="P1049" s="275">
        <v>458862</v>
      </c>
      <c r="Q1049" s="275">
        <v>777310</v>
      </c>
      <c r="R1049" s="275">
        <v>315193</v>
      </c>
      <c r="S1049" s="275">
        <v>284913</v>
      </c>
      <c r="T1049" s="275">
        <v>317470</v>
      </c>
      <c r="U1049" s="275">
        <v>1160764</v>
      </c>
      <c r="V1049" s="275">
        <v>2705461</v>
      </c>
      <c r="W1049" s="275">
        <v>1849027</v>
      </c>
      <c r="X1049" s="275">
        <v>1265347</v>
      </c>
      <c r="Y1049" s="275">
        <v>1486445</v>
      </c>
      <c r="Z1049" s="275">
        <f ca="1">[1]ExtEntry!$P57</f>
        <v>1486445</v>
      </c>
      <c r="AB1049" s="298">
        <v>22</v>
      </c>
      <c r="AC1049" s="298">
        <v>24</v>
      </c>
      <c r="AD1049" s="298">
        <v>24</v>
      </c>
      <c r="AE1049" s="271">
        <v>26</v>
      </c>
      <c r="AF1049" s="271">
        <v>24</v>
      </c>
      <c r="AG1049" s="271">
        <v>28</v>
      </c>
      <c r="AH1049" s="271">
        <v>29</v>
      </c>
      <c r="AI1049" s="271">
        <v>28</v>
      </c>
      <c r="AJ1049" s="271">
        <v>40</v>
      </c>
      <c r="AK1049" s="271">
        <v>52</v>
      </c>
      <c r="AL1049" s="271">
        <v>52</v>
      </c>
      <c r="AM1049" s="271">
        <v>51</v>
      </c>
      <c r="AN1049" s="271">
        <v>51</v>
      </c>
      <c r="AO1049" s="298">
        <v>63</v>
      </c>
      <c r="AP1049" s="298">
        <v>64</v>
      </c>
      <c r="AQ1049" s="298">
        <v>66</v>
      </c>
      <c r="AR1049" s="298">
        <v>74</v>
      </c>
      <c r="AS1049" s="298">
        <v>62</v>
      </c>
      <c r="AT1049" s="298">
        <v>59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3613441</v>
      </c>
      <c r="G1050" s="275">
        <v>1399149</v>
      </c>
      <c r="H1050" s="275">
        <v>915427</v>
      </c>
      <c r="I1050" s="275">
        <v>3702836</v>
      </c>
      <c r="J1050" s="275">
        <v>3702836</v>
      </c>
      <c r="K1050" s="275">
        <v>5414130</v>
      </c>
      <c r="L1050" s="275">
        <v>2527163</v>
      </c>
      <c r="M1050" s="275">
        <v>5373794</v>
      </c>
      <c r="N1050" s="275">
        <v>3098627</v>
      </c>
      <c r="O1050" s="275">
        <v>1900674</v>
      </c>
      <c r="P1050" s="275">
        <v>1005261</v>
      </c>
      <c r="Q1050" s="275">
        <v>2775338</v>
      </c>
      <c r="R1050" s="275">
        <v>1517247</v>
      </c>
      <c r="S1050" s="275">
        <v>987234</v>
      </c>
      <c r="T1050" s="275">
        <v>588847</v>
      </c>
      <c r="U1050" s="275">
        <v>4999432</v>
      </c>
      <c r="V1050" s="275">
        <v>3109067</v>
      </c>
      <c r="W1050" s="275">
        <v>2333736</v>
      </c>
      <c r="X1050" s="275">
        <v>2448197</v>
      </c>
      <c r="Y1050" s="275">
        <v>5059905</v>
      </c>
      <c r="Z1050" s="275">
        <f ca="1">[1]ExtEntry!$P58</f>
        <v>5059905</v>
      </c>
      <c r="AB1050" s="298">
        <v>48</v>
      </c>
      <c r="AC1050" s="298">
        <v>57</v>
      </c>
      <c r="AD1050" s="298">
        <v>57</v>
      </c>
      <c r="AE1050" s="271">
        <v>60</v>
      </c>
      <c r="AF1050" s="271">
        <v>59</v>
      </c>
      <c r="AG1050" s="271">
        <v>58</v>
      </c>
      <c r="AH1050" s="271">
        <v>53</v>
      </c>
      <c r="AI1050" s="271">
        <v>54</v>
      </c>
      <c r="AJ1050" s="271">
        <v>56</v>
      </c>
      <c r="AK1050" s="271">
        <v>49</v>
      </c>
      <c r="AL1050" s="271">
        <v>31</v>
      </c>
      <c r="AM1050" s="271">
        <v>26</v>
      </c>
      <c r="AN1050" s="271">
        <v>26</v>
      </c>
      <c r="AO1050" s="298">
        <v>25</v>
      </c>
      <c r="AP1050" s="298">
        <v>30</v>
      </c>
      <c r="AQ1050" s="298">
        <v>39</v>
      </c>
      <c r="AR1050" s="298">
        <v>39</v>
      </c>
      <c r="AS1050" s="298">
        <v>42</v>
      </c>
      <c r="AT1050" s="298">
        <v>43</v>
      </c>
      <c r="AU1050" s="298">
        <v>52</v>
      </c>
      <c r="AV1050" s="298">
        <f t="shared" si="74"/>
        <v>52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7575327</v>
      </c>
      <c r="G1051" s="275">
        <v>7575327</v>
      </c>
      <c r="H1051" s="275">
        <v>5699327</v>
      </c>
      <c r="I1051" s="275">
        <v>7851033</v>
      </c>
      <c r="J1051" s="275">
        <v>7851033</v>
      </c>
      <c r="K1051" s="275">
        <v>7473218</v>
      </c>
      <c r="L1051" s="275">
        <v>6691122</v>
      </c>
      <c r="M1051" s="275">
        <v>20901536</v>
      </c>
      <c r="N1051" s="275">
        <v>6693099</v>
      </c>
      <c r="O1051" s="275">
        <v>4651707</v>
      </c>
      <c r="P1051" s="275">
        <v>5883093</v>
      </c>
      <c r="Q1051" s="275">
        <v>8819948</v>
      </c>
      <c r="R1051" s="275">
        <v>8330066</v>
      </c>
      <c r="S1051" s="275">
        <v>2893556</v>
      </c>
      <c r="T1051" s="275">
        <v>2400172</v>
      </c>
      <c r="U1051" s="275">
        <v>7965752</v>
      </c>
      <c r="V1051" s="275">
        <v>11294995</v>
      </c>
      <c r="W1051" s="275">
        <v>6152974</v>
      </c>
      <c r="X1051" s="275">
        <v>8044454</v>
      </c>
      <c r="Y1051" s="275">
        <v>7442315</v>
      </c>
      <c r="Z1051" s="275">
        <f ca="1">[1]ExtEntry!$P59</f>
        <v>7442315</v>
      </c>
      <c r="AB1051" s="298">
        <v>69</v>
      </c>
      <c r="AC1051" s="298">
        <v>69</v>
      </c>
      <c r="AD1051" s="298">
        <v>69</v>
      </c>
      <c r="AE1051" s="271">
        <v>64</v>
      </c>
      <c r="AF1051" s="271">
        <v>57</v>
      </c>
      <c r="AG1051" s="271">
        <v>57</v>
      </c>
      <c r="AH1051" s="271">
        <v>54</v>
      </c>
      <c r="AI1051" s="271">
        <v>50</v>
      </c>
      <c r="AJ1051" s="271">
        <v>65</v>
      </c>
      <c r="AK1051" s="271">
        <v>78</v>
      </c>
      <c r="AL1051" s="271">
        <v>81</v>
      </c>
      <c r="AM1051" s="271">
        <v>61</v>
      </c>
      <c r="AN1051" s="271">
        <v>61</v>
      </c>
      <c r="AO1051" s="298">
        <v>41</v>
      </c>
      <c r="AP1051" s="298">
        <v>39</v>
      </c>
      <c r="AQ1051" s="298">
        <v>41</v>
      </c>
      <c r="AR1051" s="298">
        <v>54</v>
      </c>
      <c r="AS1051" s="298">
        <v>52</v>
      </c>
      <c r="AT1051" s="298">
        <v>48</v>
      </c>
      <c r="AU1051" s="298">
        <v>43</v>
      </c>
      <c r="AV1051" s="298">
        <f t="shared" si="74"/>
        <v>43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335491</v>
      </c>
      <c r="G1052" s="275">
        <v>15552</v>
      </c>
      <c r="H1052" s="275">
        <v>153508</v>
      </c>
      <c r="I1052" s="275">
        <v>206361</v>
      </c>
      <c r="J1052" s="275">
        <v>206361</v>
      </c>
      <c r="K1052" s="275">
        <v>195847</v>
      </c>
      <c r="L1052" s="275">
        <v>162891143</v>
      </c>
      <c r="M1052" s="275">
        <v>107496365</v>
      </c>
      <c r="N1052" s="275">
        <v>15850955</v>
      </c>
      <c r="O1052" s="275">
        <v>7497472</v>
      </c>
      <c r="P1052" s="275">
        <v>9920509</v>
      </c>
      <c r="Q1052" s="275">
        <v>3238914</v>
      </c>
      <c r="R1052" s="275">
        <v>959376</v>
      </c>
      <c r="S1052" s="275">
        <v>108774</v>
      </c>
      <c r="T1052" s="275">
        <v>282533</v>
      </c>
      <c r="U1052" s="275">
        <v>2381646</v>
      </c>
      <c r="V1052" s="275">
        <v>2557970</v>
      </c>
      <c r="W1052" s="275">
        <v>10053114</v>
      </c>
      <c r="X1052" s="275">
        <v>1872215</v>
      </c>
      <c r="Y1052" s="275">
        <v>1666067</v>
      </c>
      <c r="Z1052" s="275">
        <f ca="1">[1]ExtEntry!$P60</f>
        <v>1666067</v>
      </c>
      <c r="AB1052" s="298">
        <v>73</v>
      </c>
      <c r="AC1052" s="298">
        <v>63</v>
      </c>
      <c r="AD1052" s="298">
        <v>63</v>
      </c>
      <c r="AE1052" s="271">
        <v>53</v>
      </c>
      <c r="AF1052" s="271">
        <v>53</v>
      </c>
      <c r="AG1052" s="271">
        <v>68</v>
      </c>
      <c r="AH1052" s="271">
        <v>95</v>
      </c>
      <c r="AI1052" s="271">
        <v>50</v>
      </c>
      <c r="AJ1052" s="271">
        <v>51</v>
      </c>
      <c r="AK1052" s="271">
        <v>50</v>
      </c>
      <c r="AL1052" s="271">
        <v>51</v>
      </c>
      <c r="AM1052" s="271">
        <v>50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51</v>
      </c>
      <c r="AS1052" s="298">
        <v>49</v>
      </c>
      <c r="AT1052" s="298">
        <v>48</v>
      </c>
      <c r="AU1052" s="298">
        <v>47</v>
      </c>
      <c r="AV1052" s="298">
        <f t="shared" si="74"/>
        <v>47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1399752</v>
      </c>
      <c r="G1053" s="275">
        <v>803547</v>
      </c>
      <c r="H1053" s="275">
        <v>776309</v>
      </c>
      <c r="I1053" s="275">
        <v>1053601</v>
      </c>
      <c r="J1053" s="275">
        <v>1053601</v>
      </c>
      <c r="K1053" s="275">
        <v>1651680</v>
      </c>
      <c r="L1053" s="275">
        <v>2650775</v>
      </c>
      <c r="M1053" s="275">
        <v>8260436</v>
      </c>
      <c r="N1053" s="275">
        <v>3685409</v>
      </c>
      <c r="O1053" s="275">
        <v>1403021</v>
      </c>
      <c r="P1053" s="275">
        <v>1373684</v>
      </c>
      <c r="Q1053" s="275">
        <v>1961256</v>
      </c>
      <c r="R1053" s="275">
        <v>1149096</v>
      </c>
      <c r="S1053" s="275">
        <v>876387</v>
      </c>
      <c r="T1053" s="275">
        <v>415646</v>
      </c>
      <c r="U1053" s="275">
        <v>2302225</v>
      </c>
      <c r="V1053" s="275">
        <v>2546754</v>
      </c>
      <c r="W1053" s="275">
        <v>2275329</v>
      </c>
      <c r="X1053" s="275">
        <v>2275391</v>
      </c>
      <c r="Y1053" s="275">
        <v>1618932</v>
      </c>
      <c r="Z1053" s="275">
        <f ca="1">[1]ExtEntry!$P61</f>
        <v>1618932</v>
      </c>
      <c r="AB1053" s="298">
        <v>63</v>
      </c>
      <c r="AC1053" s="298">
        <v>65</v>
      </c>
      <c r="AD1053" s="298">
        <v>65</v>
      </c>
      <c r="AE1053" s="271">
        <v>58</v>
      </c>
      <c r="AF1053" s="271">
        <v>60</v>
      </c>
      <c r="AG1053" s="271">
        <v>56</v>
      </c>
      <c r="AH1053" s="271">
        <v>47</v>
      </c>
      <c r="AI1053" s="271">
        <v>24</v>
      </c>
      <c r="AJ1053" s="271">
        <v>28</v>
      </c>
      <c r="AK1053" s="271">
        <v>36</v>
      </c>
      <c r="AL1053" s="271">
        <v>33</v>
      </c>
      <c r="AM1053" s="271">
        <v>29</v>
      </c>
      <c r="AN1053" s="271">
        <v>29</v>
      </c>
      <c r="AO1053" s="298">
        <v>27</v>
      </c>
      <c r="AP1053" s="298">
        <v>26</v>
      </c>
      <c r="AQ1053" s="298">
        <v>30</v>
      </c>
      <c r="AR1053" s="298">
        <v>35</v>
      </c>
      <c r="AS1053" s="298">
        <v>40</v>
      </c>
      <c r="AT1053" s="298">
        <v>45</v>
      </c>
      <c r="AU1053" s="298">
        <v>46</v>
      </c>
      <c r="AV1053" s="298">
        <f t="shared" si="74"/>
        <v>46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6861503</v>
      </c>
      <c r="G1054" s="275">
        <v>1083843</v>
      </c>
      <c r="H1054" s="275">
        <v>1179632</v>
      </c>
      <c r="I1054" s="275">
        <v>4474836</v>
      </c>
      <c r="J1054" s="275">
        <v>4474836</v>
      </c>
      <c r="K1054" s="275">
        <v>3360886</v>
      </c>
      <c r="L1054" s="275">
        <v>4192963</v>
      </c>
      <c r="M1054" s="275">
        <v>14401680</v>
      </c>
      <c r="N1054" s="275">
        <v>5831313</v>
      </c>
      <c r="O1054" s="275">
        <v>1143077</v>
      </c>
      <c r="P1054" s="275">
        <v>741543</v>
      </c>
      <c r="Q1054" s="275">
        <v>1657975</v>
      </c>
      <c r="R1054" s="275">
        <v>1229666</v>
      </c>
      <c r="S1054" s="275">
        <v>985443</v>
      </c>
      <c r="T1054" s="275">
        <v>839134</v>
      </c>
      <c r="U1054" s="275">
        <v>3572600</v>
      </c>
      <c r="V1054" s="275">
        <v>2782483</v>
      </c>
      <c r="W1054" s="275">
        <v>3341620</v>
      </c>
      <c r="X1054" s="275">
        <v>3452995</v>
      </c>
      <c r="Y1054" s="275">
        <v>2095933</v>
      </c>
      <c r="Z1054" s="275">
        <f ca="1">[1]ExtEntry!$P62</f>
        <v>2095933</v>
      </c>
      <c r="AB1054" s="298">
        <v>76</v>
      </c>
      <c r="AC1054" s="298">
        <v>80</v>
      </c>
      <c r="AD1054" s="298">
        <v>80</v>
      </c>
      <c r="AE1054" s="271">
        <v>74</v>
      </c>
      <c r="AF1054" s="271">
        <v>70</v>
      </c>
      <c r="AG1054" s="271">
        <v>82</v>
      </c>
      <c r="AH1054" s="271">
        <v>71</v>
      </c>
      <c r="AI1054" s="271">
        <v>61</v>
      </c>
      <c r="AJ1054" s="271">
        <v>51</v>
      </c>
      <c r="AK1054" s="271">
        <v>33</v>
      </c>
      <c r="AL1054" s="271">
        <v>35</v>
      </c>
      <c r="AM1054" s="271">
        <v>31</v>
      </c>
      <c r="AN1054" s="271">
        <v>31</v>
      </c>
      <c r="AO1054" s="298">
        <v>27</v>
      </c>
      <c r="AP1054" s="298">
        <v>20</v>
      </c>
      <c r="AQ1054" s="298">
        <v>17</v>
      </c>
      <c r="AR1054" s="298">
        <v>21</v>
      </c>
      <c r="AS1054" s="298">
        <v>24</v>
      </c>
      <c r="AT1054" s="298">
        <v>33</v>
      </c>
      <c r="AU1054" s="298">
        <v>29</v>
      </c>
      <c r="AV1054" s="298">
        <f t="shared" si="74"/>
        <v>29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5536516</v>
      </c>
      <c r="G1055" s="275">
        <v>1017971</v>
      </c>
      <c r="H1055" s="275">
        <v>907366</v>
      </c>
      <c r="I1055" s="275">
        <v>1182054</v>
      </c>
      <c r="J1055" s="275">
        <v>1182054</v>
      </c>
      <c r="K1055" s="275">
        <v>1105584</v>
      </c>
      <c r="L1055" s="275">
        <v>1591290</v>
      </c>
      <c r="M1055" s="275">
        <v>1523849</v>
      </c>
      <c r="N1055" s="275">
        <v>879083</v>
      </c>
      <c r="O1055" s="275">
        <v>815961</v>
      </c>
      <c r="P1055" s="275">
        <v>464476</v>
      </c>
      <c r="Q1055" s="275">
        <v>690047</v>
      </c>
      <c r="R1055" s="275">
        <v>556261</v>
      </c>
      <c r="S1055" s="275">
        <v>535491</v>
      </c>
      <c r="T1055" s="275">
        <v>461207</v>
      </c>
      <c r="U1055" s="275">
        <v>2035799</v>
      </c>
      <c r="V1055" s="275">
        <v>1166776</v>
      </c>
      <c r="W1055" s="275">
        <v>1197527</v>
      </c>
      <c r="X1055" s="275">
        <v>1361072</v>
      </c>
      <c r="Y1055" s="275">
        <v>1265529</v>
      </c>
      <c r="Z1055" s="275">
        <f ca="1">[1]ExtEntry!$P63</f>
        <v>1265529</v>
      </c>
      <c r="AB1055" s="298">
        <v>28</v>
      </c>
      <c r="AC1055" s="298">
        <v>27</v>
      </c>
      <c r="AD1055" s="298">
        <v>27</v>
      </c>
      <c r="AE1055" s="271">
        <v>43</v>
      </c>
      <c r="AF1055" s="271">
        <v>45</v>
      </c>
      <c r="AG1055" s="271">
        <v>50</v>
      </c>
      <c r="AH1055" s="271">
        <v>46</v>
      </c>
      <c r="AI1055" s="271">
        <v>47</v>
      </c>
      <c r="AJ1055" s="271">
        <v>47</v>
      </c>
      <c r="AK1055" s="271">
        <v>45</v>
      </c>
      <c r="AL1055" s="271">
        <v>44</v>
      </c>
      <c r="AM1055" s="271">
        <v>35</v>
      </c>
      <c r="AN1055" s="271">
        <v>35</v>
      </c>
      <c r="AO1055" s="298">
        <v>34</v>
      </c>
      <c r="AP1055" s="298">
        <v>59</v>
      </c>
      <c r="AQ1055" s="298">
        <v>62</v>
      </c>
      <c r="AR1055" s="298">
        <v>57</v>
      </c>
      <c r="AS1055" s="298">
        <v>58</v>
      </c>
      <c r="AT1055" s="298">
        <v>56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1095604</v>
      </c>
      <c r="G1056" s="275">
        <v>765816</v>
      </c>
      <c r="H1056" s="275">
        <v>529987</v>
      </c>
      <c r="I1056" s="275">
        <v>1197002</v>
      </c>
      <c r="J1056" s="275">
        <v>1197002</v>
      </c>
      <c r="K1056" s="275">
        <v>1304126</v>
      </c>
      <c r="L1056" s="275">
        <v>838506</v>
      </c>
      <c r="M1056" s="275">
        <v>2208166</v>
      </c>
      <c r="N1056" s="275">
        <v>1087706</v>
      </c>
      <c r="O1056" s="275">
        <v>447924</v>
      </c>
      <c r="P1056" s="275">
        <v>299328</v>
      </c>
      <c r="Q1056" s="275">
        <v>723162</v>
      </c>
      <c r="R1056" s="275">
        <v>373665</v>
      </c>
      <c r="S1056" s="275">
        <v>215373</v>
      </c>
      <c r="T1056" s="275">
        <v>206625</v>
      </c>
      <c r="U1056" s="275">
        <v>1277894</v>
      </c>
      <c r="V1056" s="275">
        <v>1058827</v>
      </c>
      <c r="W1056" s="275">
        <v>2344014</v>
      </c>
      <c r="X1056" s="275">
        <v>1974628</v>
      </c>
      <c r="Y1056" s="275">
        <v>1360689</v>
      </c>
      <c r="Z1056" s="275">
        <f ca="1">[1]ExtEntry!$P64</f>
        <v>1360689</v>
      </c>
      <c r="AB1056" s="298">
        <v>25</v>
      </c>
      <c r="AC1056" s="298">
        <v>31</v>
      </c>
      <c r="AD1056" s="298">
        <v>31</v>
      </c>
      <c r="AE1056" s="271">
        <v>30</v>
      </c>
      <c r="AF1056" s="271">
        <v>31</v>
      </c>
      <c r="AG1056" s="271">
        <v>29</v>
      </c>
      <c r="AH1056" s="271">
        <v>23</v>
      </c>
      <c r="AI1056" s="271">
        <v>24</v>
      </c>
      <c r="AJ1056" s="271">
        <v>35</v>
      </c>
      <c r="AK1056" s="271">
        <v>40</v>
      </c>
      <c r="AL1056" s="271">
        <v>42</v>
      </c>
      <c r="AM1056" s="271">
        <v>33</v>
      </c>
      <c r="AN1056" s="271">
        <v>33</v>
      </c>
      <c r="AO1056" s="298">
        <v>60</v>
      </c>
      <c r="AP1056" s="298">
        <v>50</v>
      </c>
      <c r="AQ1056" s="298">
        <v>56</v>
      </c>
      <c r="AR1056" s="298">
        <v>57</v>
      </c>
      <c r="AS1056" s="298">
        <v>45</v>
      </c>
      <c r="AT1056" s="298">
        <v>40</v>
      </c>
      <c r="AU1056" s="298">
        <v>46</v>
      </c>
      <c r="AV1056" s="298">
        <f t="shared" si="74"/>
        <v>46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90</v>
      </c>
      <c r="G1057" s="275">
        <v>10</v>
      </c>
      <c r="H1057" s="275">
        <v>2</v>
      </c>
      <c r="I1057" s="275">
        <v>454</v>
      </c>
      <c r="J1057" s="275">
        <v>454</v>
      </c>
      <c r="K1057" s="275">
        <v>25</v>
      </c>
      <c r="L1057" s="275">
        <v>101</v>
      </c>
      <c r="M1057" s="275">
        <v>110</v>
      </c>
      <c r="N1057" s="275">
        <v>37</v>
      </c>
      <c r="O1057" s="275">
        <v>37</v>
      </c>
      <c r="P1057" s="275">
        <v>7</v>
      </c>
      <c r="Q1057" s="275">
        <v>12</v>
      </c>
      <c r="R1057" s="275">
        <v>107</v>
      </c>
      <c r="S1057" s="275">
        <v>35</v>
      </c>
      <c r="T1057" s="275">
        <v>3</v>
      </c>
      <c r="U1057" s="275">
        <v>79</v>
      </c>
      <c r="V1057" s="275">
        <v>28</v>
      </c>
      <c r="W1057" s="275">
        <v>55</v>
      </c>
      <c r="X1057" s="275">
        <v>54</v>
      </c>
      <c r="Y1057" s="275">
        <v>251</v>
      </c>
      <c r="Z1057" s="275">
        <f ca="1">[1]ExtEntry!$P65</f>
        <v>251</v>
      </c>
      <c r="AB1057" s="298">
        <v>58</v>
      </c>
      <c r="AC1057" s="298">
        <v>56</v>
      </c>
      <c r="AD1057" s="298">
        <v>56</v>
      </c>
      <c r="AE1057" s="271">
        <v>51</v>
      </c>
      <c r="AF1057" s="271">
        <v>50</v>
      </c>
      <c r="AG1057" s="271">
        <v>51</v>
      </c>
      <c r="AH1057" s="271">
        <v>62</v>
      </c>
      <c r="AI1057" s="271">
        <v>57</v>
      </c>
      <c r="AJ1057" s="271">
        <v>53</v>
      </c>
      <c r="AK1057" s="271">
        <v>53</v>
      </c>
      <c r="AL1057" s="271">
        <v>52</v>
      </c>
      <c r="AM1057" s="271">
        <v>49</v>
      </c>
      <c r="AN1057" s="271">
        <v>49</v>
      </c>
      <c r="AO1057" s="298">
        <v>33</v>
      </c>
      <c r="AP1057" s="298">
        <v>47</v>
      </c>
      <c r="AQ1057" s="298">
        <v>41</v>
      </c>
      <c r="AR1057" s="298">
        <v>47</v>
      </c>
      <c r="AS1057" s="298">
        <v>53</v>
      </c>
      <c r="AT1057" s="298">
        <v>49</v>
      </c>
      <c r="AU1057" s="298">
        <v>53</v>
      </c>
      <c r="AV1057" s="298">
        <f t="shared" si="74"/>
        <v>53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27705747</v>
      </c>
      <c r="G1058" s="275">
        <v>16696936</v>
      </c>
      <c r="H1058" s="275">
        <v>10220867</v>
      </c>
      <c r="I1058" s="275">
        <v>26252307</v>
      </c>
      <c r="J1058" s="275">
        <v>26252307</v>
      </c>
      <c r="K1058" s="275">
        <v>42158760</v>
      </c>
      <c r="L1058" s="275">
        <v>30957380</v>
      </c>
      <c r="M1058" s="275">
        <v>54487304</v>
      </c>
      <c r="N1058" s="275">
        <v>30141788</v>
      </c>
      <c r="O1058" s="275">
        <v>10181106</v>
      </c>
      <c r="P1058" s="275">
        <v>39418437</v>
      </c>
      <c r="Q1058" s="275">
        <v>15908005</v>
      </c>
      <c r="R1058" s="275">
        <v>17933045</v>
      </c>
      <c r="S1058" s="275">
        <v>134848</v>
      </c>
      <c r="T1058" s="275">
        <v>2343046</v>
      </c>
      <c r="U1058" s="275">
        <v>48825735</v>
      </c>
      <c r="V1058" s="275">
        <v>65440386</v>
      </c>
      <c r="W1058" s="275">
        <v>83297346</v>
      </c>
      <c r="X1058" s="275">
        <v>40542667</v>
      </c>
      <c r="Y1058" s="275">
        <v>55248262</v>
      </c>
      <c r="Z1058" s="275">
        <f ca="1">[1]ExtEntry!$P66</f>
        <v>55248262</v>
      </c>
      <c r="AB1058" s="298">
        <v>37</v>
      </c>
      <c r="AC1058" s="298">
        <v>29</v>
      </c>
      <c r="AD1058" s="298">
        <v>29</v>
      </c>
      <c r="AE1058" s="271">
        <v>29</v>
      </c>
      <c r="AF1058" s="271">
        <v>28</v>
      </c>
      <c r="AG1058" s="271">
        <v>23</v>
      </c>
      <c r="AH1058" s="271">
        <v>24</v>
      </c>
      <c r="AI1058" s="271">
        <v>31</v>
      </c>
      <c r="AJ1058" s="271">
        <v>40</v>
      </c>
      <c r="AK1058" s="271">
        <v>52</v>
      </c>
      <c r="AL1058" s="271">
        <v>46</v>
      </c>
      <c r="AM1058" s="271">
        <v>38</v>
      </c>
      <c r="AN1058" s="271">
        <v>38</v>
      </c>
      <c r="AO1058" s="298">
        <v>48</v>
      </c>
      <c r="AP1058" s="298">
        <v>60</v>
      </c>
      <c r="AQ1058" s="298">
        <v>59</v>
      </c>
      <c r="AR1058" s="298">
        <v>54</v>
      </c>
      <c r="AS1058" s="298">
        <v>46</v>
      </c>
      <c r="AT1058" s="298">
        <v>51</v>
      </c>
      <c r="AU1058" s="298">
        <v>60</v>
      </c>
      <c r="AV1058" s="298">
        <f t="shared" si="74"/>
        <v>60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31714837</v>
      </c>
      <c r="G1059" s="275">
        <v>17684024</v>
      </c>
      <c r="H1059" s="275">
        <v>7069939</v>
      </c>
      <c r="I1059" s="275">
        <v>20291616</v>
      </c>
      <c r="J1059" s="275">
        <v>20291616</v>
      </c>
      <c r="K1059" s="275">
        <v>36506743</v>
      </c>
      <c r="L1059" s="275">
        <v>22588742</v>
      </c>
      <c r="M1059" s="275">
        <v>26037456</v>
      </c>
      <c r="N1059" s="275">
        <v>21182142</v>
      </c>
      <c r="O1059" s="275">
        <v>10202900</v>
      </c>
      <c r="P1059" s="275">
        <v>26199170</v>
      </c>
      <c r="Q1059" s="275">
        <v>16062750</v>
      </c>
      <c r="R1059" s="275">
        <v>6010178</v>
      </c>
      <c r="S1059" s="275">
        <v>179014</v>
      </c>
      <c r="T1059" s="275">
        <v>503275</v>
      </c>
      <c r="U1059" s="275">
        <v>33908298</v>
      </c>
      <c r="V1059" s="275">
        <v>26811949</v>
      </c>
      <c r="W1059" s="275">
        <v>60800236</v>
      </c>
      <c r="X1059" s="275">
        <v>29051871</v>
      </c>
      <c r="Y1059" s="275">
        <v>38335202</v>
      </c>
      <c r="Z1059" s="275">
        <f ca="1">[1]ExtEntry!$P67</f>
        <v>38335202</v>
      </c>
      <c r="AB1059" s="298">
        <v>34</v>
      </c>
      <c r="AC1059" s="298">
        <v>37</v>
      </c>
      <c r="AD1059" s="298">
        <v>37</v>
      </c>
      <c r="AE1059" s="271">
        <v>29</v>
      </c>
      <c r="AF1059" s="271">
        <v>28</v>
      </c>
      <c r="AG1059" s="271">
        <v>25</v>
      </c>
      <c r="AH1059" s="271">
        <v>25</v>
      </c>
      <c r="AI1059" s="271">
        <v>21</v>
      </c>
      <c r="AJ1059" s="271">
        <v>31</v>
      </c>
      <c r="AK1059" s="271">
        <v>57</v>
      </c>
      <c r="AL1059" s="271">
        <v>50</v>
      </c>
      <c r="AM1059" s="271">
        <v>38</v>
      </c>
      <c r="AN1059" s="271">
        <v>38</v>
      </c>
      <c r="AO1059" s="298">
        <v>39</v>
      </c>
      <c r="AP1059" s="298">
        <v>41</v>
      </c>
      <c r="AQ1059" s="298">
        <v>45</v>
      </c>
      <c r="AR1059" s="298">
        <v>49</v>
      </c>
      <c r="AS1059" s="298">
        <v>44</v>
      </c>
      <c r="AT1059" s="298">
        <v>48</v>
      </c>
      <c r="AU1059" s="298">
        <v>51</v>
      </c>
      <c r="AV1059" s="298">
        <f t="shared" ref="AV1059:AV1087" si="76">INT(100-100/(1+(19*SUMIF(L663:Y663,"&gt;0",L663:Y663)+IF(Y663&gt;0,Y663,0))/ABS(19*SUMIF(L663:Y663,"&lt;0",L663:Y663)+IF(Y663&lt;0,Y663,0))))</f>
        <v>51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400595</v>
      </c>
      <c r="G1060" s="275">
        <v>397884</v>
      </c>
      <c r="H1060" s="275">
        <v>136869</v>
      </c>
      <c r="I1060" s="275">
        <v>393250</v>
      </c>
      <c r="J1060" s="275">
        <v>393250</v>
      </c>
      <c r="K1060" s="275">
        <v>488569</v>
      </c>
      <c r="L1060" s="275">
        <v>270960</v>
      </c>
      <c r="M1060" s="275">
        <v>695402</v>
      </c>
      <c r="N1060" s="275">
        <v>547870</v>
      </c>
      <c r="O1060" s="275">
        <v>321404</v>
      </c>
      <c r="P1060" s="275">
        <v>159405</v>
      </c>
      <c r="Q1060" s="275">
        <v>440035</v>
      </c>
      <c r="R1060" s="275">
        <v>233229</v>
      </c>
      <c r="S1060" s="275">
        <v>109958</v>
      </c>
      <c r="T1060" s="275">
        <v>287048</v>
      </c>
      <c r="U1060" s="275">
        <v>514335</v>
      </c>
      <c r="V1060" s="275">
        <v>498214</v>
      </c>
      <c r="W1060" s="275">
        <v>548022</v>
      </c>
      <c r="X1060" s="275">
        <v>502503</v>
      </c>
      <c r="Y1060" s="275">
        <v>440502</v>
      </c>
      <c r="Z1060" s="275">
        <f ca="1">[1]ExtEntry!$P68</f>
        <v>440502</v>
      </c>
      <c r="AB1060" s="298">
        <v>47</v>
      </c>
      <c r="AC1060" s="298">
        <v>49</v>
      </c>
      <c r="AD1060" s="298">
        <v>49</v>
      </c>
      <c r="AE1060" s="271">
        <v>43</v>
      </c>
      <c r="AF1060" s="271">
        <v>49</v>
      </c>
      <c r="AG1060" s="271">
        <v>34</v>
      </c>
      <c r="AH1060" s="271">
        <v>31</v>
      </c>
      <c r="AI1060" s="271">
        <v>40</v>
      </c>
      <c r="AJ1060" s="271">
        <v>56</v>
      </c>
      <c r="AK1060" s="271">
        <v>66</v>
      </c>
      <c r="AL1060" s="271">
        <v>61</v>
      </c>
      <c r="AM1060" s="271">
        <v>49</v>
      </c>
      <c r="AN1060" s="271">
        <v>49</v>
      </c>
      <c r="AO1060" s="298">
        <v>54</v>
      </c>
      <c r="AP1060" s="298">
        <v>61</v>
      </c>
      <c r="AQ1060" s="298">
        <v>70</v>
      </c>
      <c r="AR1060" s="298">
        <v>73</v>
      </c>
      <c r="AS1060" s="298">
        <v>69</v>
      </c>
      <c r="AT1060" s="298">
        <v>70</v>
      </c>
      <c r="AU1060" s="298">
        <v>74</v>
      </c>
      <c r="AV1060" s="298">
        <f t="shared" si="76"/>
        <v>74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2982640</v>
      </c>
      <c r="G1061" s="275">
        <v>1412290</v>
      </c>
      <c r="H1061" s="275">
        <v>2890636</v>
      </c>
      <c r="I1061" s="275">
        <v>2511416</v>
      </c>
      <c r="J1061" s="275">
        <v>2511416</v>
      </c>
      <c r="K1061" s="275">
        <v>2874234</v>
      </c>
      <c r="L1061" s="275">
        <v>3214368</v>
      </c>
      <c r="M1061" s="275">
        <v>3510679</v>
      </c>
      <c r="N1061" s="275">
        <v>16903911</v>
      </c>
      <c r="O1061" s="275">
        <v>2272490</v>
      </c>
      <c r="P1061" s="275">
        <v>3511918</v>
      </c>
      <c r="Q1061" s="275">
        <v>1203315</v>
      </c>
      <c r="R1061" s="275">
        <v>478443</v>
      </c>
      <c r="S1061" s="275">
        <v>1196</v>
      </c>
      <c r="T1061" s="275">
        <v>17757</v>
      </c>
      <c r="U1061" s="275">
        <v>2287956</v>
      </c>
      <c r="V1061" s="275">
        <v>2077533</v>
      </c>
      <c r="W1061" s="275">
        <v>2657353</v>
      </c>
      <c r="X1061" s="275">
        <v>2785052</v>
      </c>
      <c r="Y1061" s="275">
        <v>1941002</v>
      </c>
      <c r="Z1061" s="275">
        <f ca="1">[1]ExtEntry!$P69</f>
        <v>1941002</v>
      </c>
      <c r="AB1061" s="298">
        <v>66</v>
      </c>
      <c r="AC1061" s="298">
        <v>50</v>
      </c>
      <c r="AD1061" s="298">
        <v>50</v>
      </c>
      <c r="AE1061" s="271">
        <v>46</v>
      </c>
      <c r="AF1061" s="271">
        <v>46</v>
      </c>
      <c r="AG1061" s="271">
        <v>47</v>
      </c>
      <c r="AH1061" s="271">
        <v>50</v>
      </c>
      <c r="AI1061" s="271">
        <v>50</v>
      </c>
      <c r="AJ1061" s="271">
        <v>63</v>
      </c>
      <c r="AK1061" s="271">
        <v>59</v>
      </c>
      <c r="AL1061" s="271">
        <v>55</v>
      </c>
      <c r="AM1061" s="271">
        <v>50</v>
      </c>
      <c r="AN1061" s="271">
        <v>50</v>
      </c>
      <c r="AO1061" s="298">
        <v>31</v>
      </c>
      <c r="AP1061" s="298">
        <v>37</v>
      </c>
      <c r="AQ1061" s="298">
        <v>39</v>
      </c>
      <c r="AR1061" s="298">
        <v>38</v>
      </c>
      <c r="AS1061" s="298">
        <v>43</v>
      </c>
      <c r="AT1061" s="298">
        <v>52</v>
      </c>
      <c r="AU1061" s="298">
        <v>51</v>
      </c>
      <c r="AV1061" s="298">
        <f t="shared" si="76"/>
        <v>51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2917757</v>
      </c>
      <c r="G1062" s="275">
        <v>1757666</v>
      </c>
      <c r="H1062" s="275">
        <v>1366991</v>
      </c>
      <c r="I1062" s="275">
        <v>3212518</v>
      </c>
      <c r="J1062" s="275">
        <v>3212518</v>
      </c>
      <c r="K1062" s="275">
        <v>6869030</v>
      </c>
      <c r="L1062" s="275">
        <v>5420834</v>
      </c>
      <c r="M1062" s="275">
        <v>5779550</v>
      </c>
      <c r="N1062" s="275">
        <v>4374002</v>
      </c>
      <c r="O1062" s="275">
        <v>1386140</v>
      </c>
      <c r="P1062" s="275">
        <v>5212602</v>
      </c>
      <c r="Q1062" s="275">
        <v>2076594</v>
      </c>
      <c r="R1062" s="275">
        <v>893340</v>
      </c>
      <c r="S1062" s="275">
        <v>1652</v>
      </c>
      <c r="T1062" s="275">
        <v>10764</v>
      </c>
      <c r="U1062" s="275">
        <v>6449217</v>
      </c>
      <c r="V1062" s="275">
        <v>5367833</v>
      </c>
      <c r="W1062" s="275">
        <v>7482035</v>
      </c>
      <c r="X1062" s="275">
        <v>7035345</v>
      </c>
      <c r="Y1062" s="275">
        <v>7636351</v>
      </c>
      <c r="Z1062" s="275">
        <f ca="1">[1]ExtEntry!$P70</f>
        <v>7636351</v>
      </c>
      <c r="AB1062" s="298">
        <v>47</v>
      </c>
      <c r="AC1062" s="298">
        <v>42</v>
      </c>
      <c r="AD1062" s="298">
        <v>42</v>
      </c>
      <c r="AE1062" s="271">
        <v>40</v>
      </c>
      <c r="AF1062" s="271">
        <v>40</v>
      </c>
      <c r="AG1062" s="271">
        <v>46</v>
      </c>
      <c r="AH1062" s="271">
        <v>44</v>
      </c>
      <c r="AI1062" s="271">
        <v>45</v>
      </c>
      <c r="AJ1062" s="271">
        <v>56</v>
      </c>
      <c r="AK1062" s="271">
        <v>63</v>
      </c>
      <c r="AL1062" s="271">
        <v>59</v>
      </c>
      <c r="AM1062" s="271">
        <v>55</v>
      </c>
      <c r="AN1062" s="271">
        <v>55</v>
      </c>
      <c r="AO1062" s="298">
        <v>42</v>
      </c>
      <c r="AP1062" s="298">
        <v>38</v>
      </c>
      <c r="AQ1062" s="298">
        <v>42</v>
      </c>
      <c r="AR1062" s="298">
        <v>33</v>
      </c>
      <c r="AS1062" s="298">
        <v>30</v>
      </c>
      <c r="AT1062" s="298">
        <v>38</v>
      </c>
      <c r="AU1062" s="298">
        <v>31</v>
      </c>
      <c r="AV1062" s="298">
        <f t="shared" si="76"/>
        <v>31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3204803</v>
      </c>
      <c r="G1063" s="275">
        <v>1386721</v>
      </c>
      <c r="H1063" s="275">
        <v>976793</v>
      </c>
      <c r="I1063" s="275">
        <v>3952820</v>
      </c>
      <c r="J1063" s="275">
        <v>3952820</v>
      </c>
      <c r="K1063" s="275">
        <v>7041467</v>
      </c>
      <c r="L1063" s="275">
        <v>3798986</v>
      </c>
      <c r="M1063" s="275">
        <v>7303240</v>
      </c>
      <c r="N1063" s="275">
        <v>9846556</v>
      </c>
      <c r="O1063" s="275">
        <v>2300579</v>
      </c>
      <c r="P1063" s="275">
        <v>4972523</v>
      </c>
      <c r="Q1063" s="275">
        <v>2445805</v>
      </c>
      <c r="R1063" s="275">
        <v>595206</v>
      </c>
      <c r="S1063" s="275">
        <v>1151</v>
      </c>
      <c r="T1063" s="275">
        <v>1218</v>
      </c>
      <c r="U1063" s="275">
        <v>6352466</v>
      </c>
      <c r="V1063" s="275">
        <v>4541988</v>
      </c>
      <c r="W1063" s="275">
        <v>7134478</v>
      </c>
      <c r="X1063" s="275">
        <v>4244253</v>
      </c>
      <c r="Y1063" s="275">
        <v>12018282</v>
      </c>
      <c r="Z1063" s="275">
        <f ca="1">[1]ExtEntry!$P71</f>
        <v>12018282</v>
      </c>
      <c r="AB1063" s="298">
        <v>81</v>
      </c>
      <c r="AC1063" s="298">
        <v>75</v>
      </c>
      <c r="AD1063" s="298">
        <v>75</v>
      </c>
      <c r="AE1063" s="271">
        <v>71</v>
      </c>
      <c r="AF1063" s="271">
        <v>69</v>
      </c>
      <c r="AG1063" s="271">
        <v>66</v>
      </c>
      <c r="AH1063" s="271">
        <v>65</v>
      </c>
      <c r="AI1063" s="271">
        <v>62</v>
      </c>
      <c r="AJ1063" s="271">
        <v>73</v>
      </c>
      <c r="AK1063" s="271">
        <v>73</v>
      </c>
      <c r="AL1063" s="271">
        <v>74</v>
      </c>
      <c r="AM1063" s="271">
        <v>69</v>
      </c>
      <c r="AN1063" s="271">
        <v>69</v>
      </c>
      <c r="AO1063" s="298">
        <v>65</v>
      </c>
      <c r="AP1063" s="298">
        <v>49</v>
      </c>
      <c r="AQ1063" s="298">
        <v>47</v>
      </c>
      <c r="AR1063" s="298">
        <v>45</v>
      </c>
      <c r="AS1063" s="298">
        <v>32</v>
      </c>
      <c r="AT1063" s="298">
        <v>40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9007171</v>
      </c>
      <c r="G1064" s="275">
        <v>10402308</v>
      </c>
      <c r="H1064" s="275">
        <v>4280273</v>
      </c>
      <c r="I1064" s="275">
        <v>12054110</v>
      </c>
      <c r="J1064" s="275">
        <v>12054110</v>
      </c>
      <c r="K1064" s="275">
        <v>9955878</v>
      </c>
      <c r="L1064" s="275">
        <v>15297017</v>
      </c>
      <c r="M1064" s="275">
        <v>14324870</v>
      </c>
      <c r="N1064" s="275">
        <v>8813042</v>
      </c>
      <c r="O1064" s="275">
        <v>7130313</v>
      </c>
      <c r="P1064" s="275">
        <v>3675795</v>
      </c>
      <c r="Q1064" s="275">
        <v>12997822</v>
      </c>
      <c r="R1064" s="275">
        <v>10947819</v>
      </c>
      <c r="S1064" s="275">
        <v>8680543</v>
      </c>
      <c r="T1064" s="275">
        <v>4631755</v>
      </c>
      <c r="U1064" s="275">
        <v>9111020</v>
      </c>
      <c r="V1064" s="275">
        <v>15190243</v>
      </c>
      <c r="W1064" s="275">
        <v>20765144</v>
      </c>
      <c r="X1064" s="275">
        <v>18168189</v>
      </c>
      <c r="Y1064" s="275">
        <v>11153264</v>
      </c>
      <c r="Z1064" s="275">
        <f ca="1">[1]ExtEntry!$P72</f>
        <v>11153264</v>
      </c>
      <c r="AB1064" s="298">
        <v>60</v>
      </c>
      <c r="AC1064" s="298">
        <v>60</v>
      </c>
      <c r="AD1064" s="298">
        <v>60</v>
      </c>
      <c r="AE1064" s="271">
        <v>62</v>
      </c>
      <c r="AF1064" s="271">
        <v>69</v>
      </c>
      <c r="AG1064" s="271">
        <v>67</v>
      </c>
      <c r="AH1064" s="271">
        <v>70</v>
      </c>
      <c r="AI1064" s="271">
        <v>63</v>
      </c>
      <c r="AJ1064" s="271">
        <v>61</v>
      </c>
      <c r="AK1064" s="271">
        <v>71</v>
      </c>
      <c r="AL1064" s="271">
        <v>73</v>
      </c>
      <c r="AM1064" s="271">
        <v>56</v>
      </c>
      <c r="AN1064" s="271">
        <v>56</v>
      </c>
      <c r="AO1064" s="298">
        <v>56</v>
      </c>
      <c r="AP1064" s="298">
        <v>57</v>
      </c>
      <c r="AQ1064" s="298">
        <v>58</v>
      </c>
      <c r="AR1064" s="298">
        <v>59</v>
      </c>
      <c r="AS1064" s="298">
        <v>46</v>
      </c>
      <c r="AT1064" s="298">
        <v>45</v>
      </c>
      <c r="AU1064" s="298">
        <v>48</v>
      </c>
      <c r="AV1064" s="298">
        <f t="shared" si="76"/>
        <v>48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2921138</v>
      </c>
      <c r="G1065" s="275">
        <v>3475895</v>
      </c>
      <c r="H1065" s="275">
        <v>1705018</v>
      </c>
      <c r="I1065" s="275">
        <v>3810165</v>
      </c>
      <c r="J1065" s="275">
        <v>3810165</v>
      </c>
      <c r="K1065" s="275">
        <v>6906541</v>
      </c>
      <c r="L1065" s="275">
        <v>13092941</v>
      </c>
      <c r="M1065" s="275">
        <v>12977159</v>
      </c>
      <c r="N1065" s="275">
        <v>18634867</v>
      </c>
      <c r="O1065" s="275">
        <v>2881879</v>
      </c>
      <c r="P1065" s="275">
        <v>8288636</v>
      </c>
      <c r="Q1065" s="275">
        <v>4787745</v>
      </c>
      <c r="R1065" s="275">
        <v>2125067</v>
      </c>
      <c r="S1065" s="275">
        <v>18324</v>
      </c>
      <c r="T1065" s="275">
        <v>108789</v>
      </c>
      <c r="U1065" s="275">
        <v>13074872</v>
      </c>
      <c r="V1065" s="275">
        <v>9765228</v>
      </c>
      <c r="W1065" s="275">
        <v>8213438</v>
      </c>
      <c r="X1065" s="275">
        <v>9873578</v>
      </c>
      <c r="Y1065" s="275">
        <v>31149393</v>
      </c>
      <c r="Z1065" s="275">
        <f ca="1">[1]ExtEntry!$P73</f>
        <v>31149393</v>
      </c>
      <c r="AB1065" s="298">
        <v>41</v>
      </c>
      <c r="AC1065" s="298">
        <v>37</v>
      </c>
      <c r="AD1065" s="298">
        <v>37</v>
      </c>
      <c r="AE1065" s="271">
        <v>28</v>
      </c>
      <c r="AF1065" s="271">
        <v>27</v>
      </c>
      <c r="AG1065" s="271">
        <v>25</v>
      </c>
      <c r="AH1065" s="271">
        <v>22</v>
      </c>
      <c r="AI1065" s="271">
        <v>26</v>
      </c>
      <c r="AJ1065" s="271">
        <v>35</v>
      </c>
      <c r="AK1065" s="271">
        <v>41</v>
      </c>
      <c r="AL1065" s="271">
        <v>34</v>
      </c>
      <c r="AM1065" s="271">
        <v>32</v>
      </c>
      <c r="AN1065" s="271">
        <v>32</v>
      </c>
      <c r="AO1065" s="298">
        <v>31</v>
      </c>
      <c r="AP1065" s="298">
        <v>25</v>
      </c>
      <c r="AQ1065" s="298">
        <v>10</v>
      </c>
      <c r="AR1065" s="298">
        <v>10</v>
      </c>
      <c r="AS1065" s="298">
        <v>10</v>
      </c>
      <c r="AT1065" s="298">
        <v>23</v>
      </c>
      <c r="AU1065" s="298">
        <v>20</v>
      </c>
      <c r="AV1065" s="298">
        <f t="shared" si="76"/>
        <v>20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794219</v>
      </c>
      <c r="G1066" s="275">
        <v>1000684</v>
      </c>
      <c r="H1066" s="275">
        <v>1728232</v>
      </c>
      <c r="I1066" s="275">
        <v>4291054</v>
      </c>
      <c r="J1066" s="275">
        <v>4291054</v>
      </c>
      <c r="K1066" s="275">
        <v>3151715</v>
      </c>
      <c r="L1066" s="275">
        <v>2327247</v>
      </c>
      <c r="M1066" s="275">
        <v>1184373</v>
      </c>
      <c r="N1066" s="275">
        <v>2507189</v>
      </c>
      <c r="O1066" s="275">
        <v>868318</v>
      </c>
      <c r="P1066" s="275">
        <v>5658948</v>
      </c>
      <c r="Q1066" s="275">
        <v>2355513</v>
      </c>
      <c r="R1066" s="275">
        <v>503931</v>
      </c>
      <c r="S1066" s="275">
        <v>521</v>
      </c>
      <c r="T1066" s="275">
        <v>35274</v>
      </c>
      <c r="U1066" s="275">
        <v>2587673</v>
      </c>
      <c r="V1066" s="275">
        <v>2447002</v>
      </c>
      <c r="W1066" s="275">
        <v>3588841</v>
      </c>
      <c r="X1066" s="275">
        <v>4521006</v>
      </c>
      <c r="Y1066" s="275">
        <v>5060096</v>
      </c>
      <c r="Z1066" s="275">
        <f ca="1">[1]ExtEntry!$P74</f>
        <v>5060096</v>
      </c>
      <c r="AB1066" s="298">
        <v>52</v>
      </c>
      <c r="AC1066" s="298">
        <v>34</v>
      </c>
      <c r="AD1066" s="298">
        <v>34</v>
      </c>
      <c r="AE1066" s="271">
        <v>34</v>
      </c>
      <c r="AF1066" s="271">
        <v>30</v>
      </c>
      <c r="AG1066" s="271">
        <v>33</v>
      </c>
      <c r="AH1066" s="271">
        <v>37</v>
      </c>
      <c r="AI1066" s="271">
        <v>40</v>
      </c>
      <c r="AJ1066" s="271">
        <v>45</v>
      </c>
      <c r="AK1066" s="271">
        <v>49</v>
      </c>
      <c r="AL1066" s="271">
        <v>43</v>
      </c>
      <c r="AM1066" s="271">
        <v>39</v>
      </c>
      <c r="AN1066" s="271">
        <v>39</v>
      </c>
      <c r="AO1066" s="298">
        <v>40</v>
      </c>
      <c r="AP1066" s="298">
        <v>35</v>
      </c>
      <c r="AQ1066" s="298">
        <v>41</v>
      </c>
      <c r="AR1066" s="298">
        <v>37</v>
      </c>
      <c r="AS1066" s="298">
        <v>43</v>
      </c>
      <c r="AT1066" s="298">
        <v>63</v>
      </c>
      <c r="AU1066" s="298">
        <v>69</v>
      </c>
      <c r="AV1066" s="298">
        <f t="shared" si="76"/>
        <v>69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7575327</v>
      </c>
      <c r="G1067" s="275">
        <v>7575327</v>
      </c>
      <c r="H1067" s="275">
        <v>5699327</v>
      </c>
      <c r="I1067" s="275">
        <v>7851033</v>
      </c>
      <c r="J1067" s="275">
        <v>7851033</v>
      </c>
      <c r="K1067" s="275">
        <v>7473218</v>
      </c>
      <c r="L1067" s="275">
        <v>6691122</v>
      </c>
      <c r="M1067" s="275">
        <v>20901536</v>
      </c>
      <c r="N1067" s="275">
        <v>6693099</v>
      </c>
      <c r="O1067" s="275">
        <v>4651707</v>
      </c>
      <c r="P1067" s="275">
        <v>5883093</v>
      </c>
      <c r="Q1067" s="275">
        <v>8819948</v>
      </c>
      <c r="R1067" s="275">
        <v>8330066</v>
      </c>
      <c r="S1067" s="275">
        <v>2893556</v>
      </c>
      <c r="T1067" s="275">
        <v>2400172</v>
      </c>
      <c r="U1067" s="275">
        <v>7965752</v>
      </c>
      <c r="V1067" s="275">
        <v>11294995</v>
      </c>
      <c r="W1067" s="275">
        <v>6152974</v>
      </c>
      <c r="X1067" s="275">
        <v>8044454</v>
      </c>
      <c r="Y1067" s="275">
        <v>7442315</v>
      </c>
      <c r="Z1067" s="275">
        <f ca="1">[1]ExtEntry!$P75</f>
        <v>7442315</v>
      </c>
      <c r="AB1067" s="298">
        <v>69</v>
      </c>
      <c r="AC1067" s="298">
        <v>69</v>
      </c>
      <c r="AD1067" s="298">
        <v>69</v>
      </c>
      <c r="AE1067" s="271">
        <v>64</v>
      </c>
      <c r="AF1067" s="271">
        <v>57</v>
      </c>
      <c r="AG1067" s="271">
        <v>57</v>
      </c>
      <c r="AH1067" s="271">
        <v>54</v>
      </c>
      <c r="AI1067" s="271">
        <v>50</v>
      </c>
      <c r="AJ1067" s="271">
        <v>65</v>
      </c>
      <c r="AK1067" s="271">
        <v>78</v>
      </c>
      <c r="AL1067" s="271">
        <v>81</v>
      </c>
      <c r="AM1067" s="271">
        <v>61</v>
      </c>
      <c r="AN1067" s="271">
        <v>61</v>
      </c>
      <c r="AO1067" s="298">
        <v>41</v>
      </c>
      <c r="AP1067" s="298">
        <v>39</v>
      </c>
      <c r="AQ1067" s="298">
        <v>41</v>
      </c>
      <c r="AR1067" s="298">
        <v>54</v>
      </c>
      <c r="AS1067" s="298">
        <v>52</v>
      </c>
      <c r="AT1067" s="298">
        <v>48</v>
      </c>
      <c r="AU1067" s="298">
        <v>43</v>
      </c>
      <c r="AV1067" s="298">
        <f t="shared" si="76"/>
        <v>43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1981952</v>
      </c>
      <c r="G1068" s="275">
        <v>1417945</v>
      </c>
      <c r="H1068" s="275">
        <v>683973</v>
      </c>
      <c r="I1068" s="275">
        <v>1955856</v>
      </c>
      <c r="J1068" s="275">
        <v>1955856</v>
      </c>
      <c r="K1068" s="275">
        <v>2353767</v>
      </c>
      <c r="L1068" s="275">
        <v>2189543</v>
      </c>
      <c r="M1068" s="275">
        <v>1649020</v>
      </c>
      <c r="N1068" s="275">
        <v>5336605</v>
      </c>
      <c r="O1068" s="275">
        <v>3367247</v>
      </c>
      <c r="P1068" s="275">
        <v>703559</v>
      </c>
      <c r="Q1068" s="275">
        <v>2467990</v>
      </c>
      <c r="R1068" s="275">
        <v>1417475</v>
      </c>
      <c r="S1068" s="275">
        <v>3620589</v>
      </c>
      <c r="T1068" s="275">
        <v>1139919</v>
      </c>
      <c r="U1068" s="275">
        <v>2173083</v>
      </c>
      <c r="V1068" s="275">
        <v>2898783</v>
      </c>
      <c r="W1068" s="275">
        <v>13247697</v>
      </c>
      <c r="X1068" s="275">
        <v>2849972</v>
      </c>
      <c r="Y1068" s="275">
        <v>2802348</v>
      </c>
      <c r="Z1068" s="275">
        <f ca="1">[1]ExtEntry!$P76</f>
        <v>2802348</v>
      </c>
      <c r="AB1068" s="298">
        <v>42</v>
      </c>
      <c r="AC1068" s="298">
        <v>55</v>
      </c>
      <c r="AD1068" s="298">
        <v>55</v>
      </c>
      <c r="AE1068" s="271">
        <v>52</v>
      </c>
      <c r="AF1068" s="271">
        <v>57</v>
      </c>
      <c r="AG1068" s="271">
        <v>52</v>
      </c>
      <c r="AH1068" s="271">
        <v>59</v>
      </c>
      <c r="AI1068" s="271">
        <v>51</v>
      </c>
      <c r="AJ1068" s="271">
        <v>48</v>
      </c>
      <c r="AK1068" s="271">
        <v>56</v>
      </c>
      <c r="AL1068" s="271">
        <v>55</v>
      </c>
      <c r="AM1068" s="271">
        <v>46</v>
      </c>
      <c r="AN1068" s="271">
        <v>46</v>
      </c>
      <c r="AO1068" s="298">
        <v>50</v>
      </c>
      <c r="AP1068" s="298">
        <v>42</v>
      </c>
      <c r="AQ1068" s="298">
        <v>39</v>
      </c>
      <c r="AR1068" s="298">
        <v>42</v>
      </c>
      <c r="AS1068" s="298">
        <v>34</v>
      </c>
      <c r="AT1068" s="298">
        <v>33</v>
      </c>
      <c r="AU1068" s="298">
        <v>39</v>
      </c>
      <c r="AV1068" s="298">
        <f t="shared" si="76"/>
        <v>39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28623709</v>
      </c>
      <c r="G1069" s="275">
        <v>14108441</v>
      </c>
      <c r="H1069" s="275">
        <v>6774256</v>
      </c>
      <c r="I1069" s="275">
        <v>49203735</v>
      </c>
      <c r="J1069" s="275">
        <v>49203735</v>
      </c>
      <c r="K1069" s="275">
        <v>46417204</v>
      </c>
      <c r="L1069" s="275">
        <v>44868966</v>
      </c>
      <c r="M1069" s="275">
        <v>48587211</v>
      </c>
      <c r="N1069" s="275">
        <v>40326057</v>
      </c>
      <c r="O1069" s="275">
        <v>17436912</v>
      </c>
      <c r="P1069" s="275">
        <v>44069734</v>
      </c>
      <c r="Q1069" s="275">
        <v>27339953</v>
      </c>
      <c r="R1069" s="275">
        <v>6093324</v>
      </c>
      <c r="S1069" s="275">
        <v>20115</v>
      </c>
      <c r="T1069" s="275">
        <v>124302</v>
      </c>
      <c r="U1069" s="275">
        <v>39699138</v>
      </c>
      <c r="V1069" s="275">
        <v>41035300</v>
      </c>
      <c r="W1069" s="275">
        <v>46997125</v>
      </c>
      <c r="X1069" s="275">
        <v>56275375</v>
      </c>
      <c r="Y1069" s="275">
        <v>50049761</v>
      </c>
      <c r="Z1069" s="275">
        <f ca="1">[1]ExtEntry!$P77</f>
        <v>50049761</v>
      </c>
      <c r="AB1069" s="298">
        <v>58</v>
      </c>
      <c r="AC1069" s="298">
        <v>48</v>
      </c>
      <c r="AD1069" s="298">
        <v>48</v>
      </c>
      <c r="AE1069" s="271">
        <v>49</v>
      </c>
      <c r="AF1069" s="271">
        <v>46</v>
      </c>
      <c r="AG1069" s="271">
        <v>49</v>
      </c>
      <c r="AH1069" s="271">
        <v>55</v>
      </c>
      <c r="AI1069" s="271">
        <v>49</v>
      </c>
      <c r="AJ1069" s="271">
        <v>63</v>
      </c>
      <c r="AK1069" s="271">
        <v>63</v>
      </c>
      <c r="AL1069" s="271">
        <v>64</v>
      </c>
      <c r="AM1069" s="271">
        <v>56</v>
      </c>
      <c r="AN1069" s="271">
        <v>56</v>
      </c>
      <c r="AO1069" s="298">
        <v>49</v>
      </c>
      <c r="AP1069" s="298">
        <v>46</v>
      </c>
      <c r="AQ1069" s="298">
        <v>42</v>
      </c>
      <c r="AR1069" s="298">
        <v>36</v>
      </c>
      <c r="AS1069" s="298">
        <v>29</v>
      </c>
      <c r="AT1069" s="298">
        <v>40</v>
      </c>
      <c r="AU1069" s="298">
        <v>39</v>
      </c>
      <c r="AV1069" s="298">
        <f t="shared" si="76"/>
        <v>39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1399752</v>
      </c>
      <c r="G1070" s="275">
        <v>803547</v>
      </c>
      <c r="H1070" s="275">
        <v>776309</v>
      </c>
      <c r="I1070" s="275">
        <v>1053601</v>
      </c>
      <c r="J1070" s="275">
        <v>1053601</v>
      </c>
      <c r="K1070" s="275">
        <v>1651680</v>
      </c>
      <c r="L1070" s="275">
        <v>2650775</v>
      </c>
      <c r="M1070" s="275">
        <v>8260436</v>
      </c>
      <c r="N1070" s="275">
        <v>3685409</v>
      </c>
      <c r="O1070" s="275">
        <v>1403021</v>
      </c>
      <c r="P1070" s="275">
        <v>1373684</v>
      </c>
      <c r="Q1070" s="275">
        <v>1961256</v>
      </c>
      <c r="R1070" s="275">
        <v>1149096</v>
      </c>
      <c r="S1070" s="275">
        <v>876387</v>
      </c>
      <c r="T1070" s="275">
        <v>415646</v>
      </c>
      <c r="U1070" s="275">
        <v>2302225</v>
      </c>
      <c r="V1070" s="275">
        <v>2546754</v>
      </c>
      <c r="W1070" s="275">
        <v>2275329</v>
      </c>
      <c r="X1070" s="275">
        <v>2275391</v>
      </c>
      <c r="Y1070" s="275">
        <v>1618932</v>
      </c>
      <c r="Z1070" s="275">
        <f ca="1">[1]ExtEntry!$P78</f>
        <v>1618932</v>
      </c>
      <c r="AB1070" s="298">
        <v>63</v>
      </c>
      <c r="AC1070" s="298">
        <v>65</v>
      </c>
      <c r="AD1070" s="298">
        <v>65</v>
      </c>
      <c r="AE1070" s="271">
        <v>58</v>
      </c>
      <c r="AF1070" s="271">
        <v>60</v>
      </c>
      <c r="AG1070" s="271">
        <v>56</v>
      </c>
      <c r="AH1070" s="271">
        <v>47</v>
      </c>
      <c r="AI1070" s="271">
        <v>24</v>
      </c>
      <c r="AJ1070" s="271">
        <v>28</v>
      </c>
      <c r="AK1070" s="271">
        <v>36</v>
      </c>
      <c r="AL1070" s="271">
        <v>33</v>
      </c>
      <c r="AM1070" s="271">
        <v>29</v>
      </c>
      <c r="AN1070" s="271">
        <v>29</v>
      </c>
      <c r="AO1070" s="298">
        <v>27</v>
      </c>
      <c r="AP1070" s="298">
        <v>26</v>
      </c>
      <c r="AQ1070" s="298">
        <v>30</v>
      </c>
      <c r="AR1070" s="298">
        <v>35</v>
      </c>
      <c r="AS1070" s="298">
        <v>40</v>
      </c>
      <c r="AT1070" s="298">
        <v>45</v>
      </c>
      <c r="AU1070" s="298">
        <v>46</v>
      </c>
      <c r="AV1070" s="298">
        <f t="shared" si="76"/>
        <v>46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242260</v>
      </c>
      <c r="G1071" s="275">
        <v>176860</v>
      </c>
      <c r="H1071" s="275">
        <v>93594</v>
      </c>
      <c r="I1071" s="275">
        <v>487618</v>
      </c>
      <c r="J1071" s="275">
        <v>487618</v>
      </c>
      <c r="K1071" s="275">
        <v>1224957</v>
      </c>
      <c r="L1071" s="275">
        <v>638146</v>
      </c>
      <c r="M1071" s="275">
        <v>855661</v>
      </c>
      <c r="N1071" s="275">
        <v>696119</v>
      </c>
      <c r="O1071" s="275">
        <v>74806</v>
      </c>
      <c r="P1071" s="275">
        <v>831042</v>
      </c>
      <c r="Q1071" s="275">
        <v>232599</v>
      </c>
      <c r="R1071" s="275">
        <v>76086</v>
      </c>
      <c r="S1071" s="275">
        <v>4</v>
      </c>
      <c r="T1071" s="275">
        <v>434</v>
      </c>
      <c r="U1071" s="275">
        <v>894430</v>
      </c>
      <c r="V1071" s="275">
        <v>763818</v>
      </c>
      <c r="W1071" s="275">
        <v>810123</v>
      </c>
      <c r="X1071" s="275">
        <v>1236488</v>
      </c>
      <c r="Y1071" s="275">
        <v>697868</v>
      </c>
      <c r="Z1071" s="275">
        <f ca="1">[1]ExtEntry!$P79</f>
        <v>697868</v>
      </c>
      <c r="AB1071" s="298">
        <v>90</v>
      </c>
      <c r="AC1071" s="298">
        <v>85</v>
      </c>
      <c r="AD1071" s="298">
        <v>85</v>
      </c>
      <c r="AE1071" s="271">
        <v>84</v>
      </c>
      <c r="AF1071" s="271">
        <v>83</v>
      </c>
      <c r="AG1071" s="271">
        <v>73</v>
      </c>
      <c r="AH1071" s="271">
        <v>52</v>
      </c>
      <c r="AI1071" s="271">
        <v>25</v>
      </c>
      <c r="AJ1071" s="271">
        <v>24</v>
      </c>
      <c r="AK1071" s="271">
        <v>25</v>
      </c>
      <c r="AL1071" s="271">
        <v>22</v>
      </c>
      <c r="AM1071" s="271">
        <v>16</v>
      </c>
      <c r="AN1071" s="271">
        <v>16</v>
      </c>
      <c r="AO1071" s="298">
        <v>10</v>
      </c>
      <c r="AP1071" s="298">
        <v>12</v>
      </c>
      <c r="AQ1071" s="298">
        <v>18</v>
      </c>
      <c r="AR1071" s="298">
        <v>17</v>
      </c>
      <c r="AS1071" s="298">
        <v>22</v>
      </c>
      <c r="AT1071" s="298">
        <v>26</v>
      </c>
      <c r="AU1071" s="298">
        <v>29</v>
      </c>
      <c r="AV1071" s="298">
        <f t="shared" si="76"/>
        <v>29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517876</v>
      </c>
      <c r="G1072" s="275">
        <v>654672</v>
      </c>
      <c r="H1072" s="275">
        <v>248579</v>
      </c>
      <c r="I1072" s="275">
        <v>988143</v>
      </c>
      <c r="J1072" s="275">
        <v>988143</v>
      </c>
      <c r="K1072" s="275">
        <v>1871813</v>
      </c>
      <c r="L1072" s="275">
        <v>1381130</v>
      </c>
      <c r="M1072" s="275">
        <v>1494264</v>
      </c>
      <c r="N1072" s="275">
        <v>1533399</v>
      </c>
      <c r="O1072" s="275">
        <v>436394</v>
      </c>
      <c r="P1072" s="275">
        <v>1467307</v>
      </c>
      <c r="Q1072" s="275">
        <v>622768</v>
      </c>
      <c r="R1072" s="275">
        <v>156874</v>
      </c>
      <c r="S1072" s="275">
        <v>206</v>
      </c>
      <c r="T1072" s="275">
        <v>10444</v>
      </c>
      <c r="U1072" s="275">
        <v>1399083</v>
      </c>
      <c r="V1072" s="275">
        <v>2515511</v>
      </c>
      <c r="W1072" s="275">
        <v>1996069</v>
      </c>
      <c r="X1072" s="275">
        <v>1733742</v>
      </c>
      <c r="Y1072" s="275">
        <v>1099031</v>
      </c>
      <c r="Z1072" s="275">
        <f ca="1">[1]ExtEntry!$P80</f>
        <v>1099031</v>
      </c>
      <c r="AB1072" s="298">
        <v>61</v>
      </c>
      <c r="AC1072" s="298">
        <v>47</v>
      </c>
      <c r="AD1072" s="298">
        <v>47</v>
      </c>
      <c r="AE1072" s="271">
        <v>34</v>
      </c>
      <c r="AF1072" s="271">
        <v>26</v>
      </c>
      <c r="AG1072" s="271">
        <v>27</v>
      </c>
      <c r="AH1072" s="271">
        <v>27</v>
      </c>
      <c r="AI1072" s="271">
        <v>35</v>
      </c>
      <c r="AJ1072" s="271">
        <v>39</v>
      </c>
      <c r="AK1072" s="271">
        <v>45</v>
      </c>
      <c r="AL1072" s="271">
        <v>38</v>
      </c>
      <c r="AM1072" s="271">
        <v>33</v>
      </c>
      <c r="AN1072" s="271">
        <v>33</v>
      </c>
      <c r="AO1072" s="298">
        <v>12</v>
      </c>
      <c r="AP1072" s="298">
        <v>31</v>
      </c>
      <c r="AQ1072" s="298">
        <v>38</v>
      </c>
      <c r="AR1072" s="298">
        <v>52</v>
      </c>
      <c r="AS1072" s="298">
        <v>60</v>
      </c>
      <c r="AT1072" s="298">
        <v>71</v>
      </c>
      <c r="AU1072" s="298">
        <v>68</v>
      </c>
      <c r="AV1072" s="298">
        <f t="shared" si="76"/>
        <v>68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1474370</v>
      </c>
      <c r="G1073" s="275">
        <v>1841753</v>
      </c>
      <c r="H1073" s="275">
        <v>3241416</v>
      </c>
      <c r="I1073" s="275">
        <v>6204289</v>
      </c>
      <c r="J1073" s="275">
        <v>6204289</v>
      </c>
      <c r="K1073" s="275">
        <v>3283032</v>
      </c>
      <c r="L1073" s="275">
        <v>2802499</v>
      </c>
      <c r="M1073" s="275">
        <v>4197071</v>
      </c>
      <c r="N1073" s="275">
        <v>2649266</v>
      </c>
      <c r="O1073" s="275">
        <v>1826481</v>
      </c>
      <c r="P1073" s="275">
        <v>2857152</v>
      </c>
      <c r="Q1073" s="275">
        <v>2016399</v>
      </c>
      <c r="R1073" s="275">
        <v>468020</v>
      </c>
      <c r="S1073" s="275">
        <v>28257</v>
      </c>
      <c r="T1073" s="275">
        <v>31400</v>
      </c>
      <c r="U1073" s="275">
        <v>2543751</v>
      </c>
      <c r="V1073" s="275">
        <v>2488723</v>
      </c>
      <c r="W1073" s="275">
        <v>2484464</v>
      </c>
      <c r="X1073" s="275">
        <v>4252849</v>
      </c>
      <c r="Y1073" s="275">
        <v>2863105</v>
      </c>
      <c r="Z1073" s="275">
        <f ca="1">[1]ExtEntry!$P81</f>
        <v>2863105</v>
      </c>
      <c r="AB1073" s="298">
        <v>37</v>
      </c>
      <c r="AC1073" s="298">
        <v>28</v>
      </c>
      <c r="AD1073" s="298">
        <v>28</v>
      </c>
      <c r="AE1073" s="271">
        <v>20</v>
      </c>
      <c r="AF1073" s="271">
        <v>20</v>
      </c>
      <c r="AG1073" s="271">
        <v>16</v>
      </c>
      <c r="AH1073" s="271">
        <v>14</v>
      </c>
      <c r="AI1073" s="271">
        <v>15</v>
      </c>
      <c r="AJ1073" s="271">
        <v>16</v>
      </c>
      <c r="AK1073" s="271">
        <v>17</v>
      </c>
      <c r="AL1073" s="271">
        <v>16</v>
      </c>
      <c r="AM1073" s="271">
        <v>15</v>
      </c>
      <c r="AN1073" s="271">
        <v>15</v>
      </c>
      <c r="AO1073" s="298">
        <v>1</v>
      </c>
      <c r="AP1073" s="298">
        <v>7</v>
      </c>
      <c r="AQ1073" s="298">
        <v>13</v>
      </c>
      <c r="AR1073" s="298">
        <v>14</v>
      </c>
      <c r="AS1073" s="298">
        <v>18</v>
      </c>
      <c r="AT1073" s="298">
        <v>35</v>
      </c>
      <c r="AU1073" s="298">
        <v>45</v>
      </c>
      <c r="AV1073" s="298">
        <f t="shared" si="76"/>
        <v>45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2232712</v>
      </c>
      <c r="G1074" s="275">
        <v>2371990</v>
      </c>
      <c r="H1074" s="275">
        <v>1371624</v>
      </c>
      <c r="I1074" s="275">
        <v>2962070</v>
      </c>
      <c r="J1074" s="275">
        <v>2962070</v>
      </c>
      <c r="K1074" s="275">
        <v>5368786</v>
      </c>
      <c r="L1074" s="275">
        <v>7783202</v>
      </c>
      <c r="M1074" s="275">
        <v>8178374</v>
      </c>
      <c r="N1074" s="275">
        <v>5189989</v>
      </c>
      <c r="O1074" s="275">
        <v>1390043</v>
      </c>
      <c r="P1074" s="275">
        <v>3665964</v>
      </c>
      <c r="Q1074" s="275">
        <v>3175116</v>
      </c>
      <c r="R1074" s="275">
        <v>726018</v>
      </c>
      <c r="S1074" s="275">
        <v>3</v>
      </c>
      <c r="T1074" s="275">
        <v>6680</v>
      </c>
      <c r="U1074" s="275">
        <v>9326089</v>
      </c>
      <c r="V1074" s="275">
        <v>6863118</v>
      </c>
      <c r="W1074" s="275">
        <v>7510675</v>
      </c>
      <c r="X1074" s="275">
        <v>9788257</v>
      </c>
      <c r="Y1074" s="275">
        <v>10395657</v>
      </c>
      <c r="Z1074" s="275">
        <f ca="1">[1]ExtEntry!$P82</f>
        <v>10395657</v>
      </c>
      <c r="AB1074" s="298">
        <v>29</v>
      </c>
      <c r="AC1074" s="298">
        <v>30</v>
      </c>
      <c r="AD1074" s="298">
        <v>30</v>
      </c>
      <c r="AE1074" s="271">
        <v>45</v>
      </c>
      <c r="AF1074" s="271">
        <v>46</v>
      </c>
      <c r="AG1074" s="271">
        <v>48</v>
      </c>
      <c r="AH1074" s="271">
        <v>49</v>
      </c>
      <c r="AI1074" s="271">
        <v>53</v>
      </c>
      <c r="AJ1074" s="271">
        <v>61</v>
      </c>
      <c r="AK1074" s="271">
        <v>66</v>
      </c>
      <c r="AL1074" s="271">
        <v>65</v>
      </c>
      <c r="AM1074" s="271">
        <v>53</v>
      </c>
      <c r="AN1074" s="271">
        <v>53</v>
      </c>
      <c r="AO1074" s="298">
        <v>46</v>
      </c>
      <c r="AP1074" s="298">
        <v>42</v>
      </c>
      <c r="AQ1074" s="298">
        <v>37</v>
      </c>
      <c r="AR1074" s="298">
        <v>34</v>
      </c>
      <c r="AS1074" s="298">
        <v>34</v>
      </c>
      <c r="AT1074" s="298">
        <v>39</v>
      </c>
      <c r="AU1074" s="298">
        <v>41</v>
      </c>
      <c r="AV1074" s="298">
        <f t="shared" si="76"/>
        <v>41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942043</v>
      </c>
      <c r="G1075" s="275">
        <v>686038</v>
      </c>
      <c r="H1075" s="275">
        <v>363504</v>
      </c>
      <c r="I1075" s="275">
        <v>1299388</v>
      </c>
      <c r="J1075" s="275">
        <v>1299388</v>
      </c>
      <c r="K1075" s="275">
        <v>2884406</v>
      </c>
      <c r="L1075" s="275">
        <v>1982653</v>
      </c>
      <c r="M1075" s="275">
        <v>4747674</v>
      </c>
      <c r="N1075" s="275">
        <v>1480716</v>
      </c>
      <c r="O1075" s="275">
        <v>329272</v>
      </c>
      <c r="P1075" s="275">
        <v>2111298</v>
      </c>
      <c r="Q1075" s="275">
        <v>825579</v>
      </c>
      <c r="R1075" s="275">
        <v>450457</v>
      </c>
      <c r="S1075" s="275">
        <v>304</v>
      </c>
      <c r="T1075" s="275">
        <v>1045</v>
      </c>
      <c r="U1075" s="275">
        <v>1948173</v>
      </c>
      <c r="V1075" s="275">
        <v>2264520</v>
      </c>
      <c r="W1075" s="275">
        <v>2535186</v>
      </c>
      <c r="X1075" s="275">
        <v>1483358</v>
      </c>
      <c r="Y1075" s="275">
        <v>2241605</v>
      </c>
      <c r="Z1075" s="275">
        <f ca="1">[1]ExtEntry!$P83</f>
        <v>2241605</v>
      </c>
      <c r="AB1075" s="298">
        <v>58</v>
      </c>
      <c r="AC1075" s="298">
        <v>52</v>
      </c>
      <c r="AD1075" s="298">
        <v>52</v>
      </c>
      <c r="AE1075" s="271">
        <v>48</v>
      </c>
      <c r="AF1075" s="271">
        <v>44</v>
      </c>
      <c r="AG1075" s="271">
        <v>52</v>
      </c>
      <c r="AH1075" s="271">
        <v>50</v>
      </c>
      <c r="AI1075" s="271">
        <v>41</v>
      </c>
      <c r="AJ1075" s="271">
        <v>48</v>
      </c>
      <c r="AK1075" s="271">
        <v>57</v>
      </c>
      <c r="AL1075" s="271">
        <v>55</v>
      </c>
      <c r="AM1075" s="271">
        <v>47</v>
      </c>
      <c r="AN1075" s="271">
        <v>47</v>
      </c>
      <c r="AO1075" s="298">
        <v>46</v>
      </c>
      <c r="AP1075" s="298">
        <v>51</v>
      </c>
      <c r="AQ1075" s="298">
        <v>55</v>
      </c>
      <c r="AR1075" s="298">
        <v>50</v>
      </c>
      <c r="AS1075" s="298">
        <v>44</v>
      </c>
      <c r="AT1075" s="298">
        <v>54</v>
      </c>
      <c r="AU1075" s="298">
        <v>39</v>
      </c>
      <c r="AV1075" s="298">
        <f t="shared" si="76"/>
        <v>39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3089846</v>
      </c>
      <c r="G1076" s="275">
        <v>3464485</v>
      </c>
      <c r="H1076" s="275">
        <v>3958870</v>
      </c>
      <c r="I1076" s="275">
        <v>3298009</v>
      </c>
      <c r="J1076" s="275">
        <v>3298009</v>
      </c>
      <c r="K1076" s="275">
        <v>6431482</v>
      </c>
      <c r="L1076" s="275">
        <v>8087242</v>
      </c>
      <c r="M1076" s="275">
        <v>7290891</v>
      </c>
      <c r="N1076" s="275">
        <v>12121884</v>
      </c>
      <c r="O1076" s="275">
        <v>2350909</v>
      </c>
      <c r="P1076" s="275">
        <v>6400759</v>
      </c>
      <c r="Q1076" s="275">
        <v>2477828</v>
      </c>
      <c r="R1076" s="275">
        <v>749204</v>
      </c>
      <c r="S1076" s="275">
        <v>8626</v>
      </c>
      <c r="T1076" s="275">
        <v>75339</v>
      </c>
      <c r="U1076" s="275">
        <v>3488967</v>
      </c>
      <c r="V1076" s="275">
        <v>4482657</v>
      </c>
      <c r="W1076" s="275">
        <v>2977705</v>
      </c>
      <c r="X1076" s="275">
        <v>3660395</v>
      </c>
      <c r="Y1076" s="275">
        <v>7148849</v>
      </c>
      <c r="Z1076" s="275">
        <f ca="1">[1]ExtEntry!$P84</f>
        <v>7148849</v>
      </c>
      <c r="AB1076" s="298">
        <v>69</v>
      </c>
      <c r="AC1076" s="298">
        <v>62</v>
      </c>
      <c r="AD1076" s="298">
        <v>62</v>
      </c>
      <c r="AE1076" s="271">
        <v>61</v>
      </c>
      <c r="AF1076" s="271">
        <v>60</v>
      </c>
      <c r="AG1076" s="271">
        <v>50</v>
      </c>
      <c r="AH1076" s="271">
        <v>48</v>
      </c>
      <c r="AI1076" s="271">
        <v>51</v>
      </c>
      <c r="AJ1076" s="271">
        <v>53</v>
      </c>
      <c r="AK1076" s="271">
        <v>53</v>
      </c>
      <c r="AL1076" s="271">
        <v>50</v>
      </c>
      <c r="AM1076" s="271">
        <v>50</v>
      </c>
      <c r="AN1076" s="271">
        <v>50</v>
      </c>
      <c r="AO1076" s="298">
        <v>44</v>
      </c>
      <c r="AP1076" s="298">
        <v>37</v>
      </c>
      <c r="AQ1076" s="298">
        <v>34</v>
      </c>
      <c r="AR1076" s="298">
        <v>26</v>
      </c>
      <c r="AS1076" s="298">
        <v>28</v>
      </c>
      <c r="AT1076" s="298">
        <v>39</v>
      </c>
      <c r="AU1076" s="298">
        <v>47</v>
      </c>
      <c r="AV1076" s="298">
        <f t="shared" si="76"/>
        <v>47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497011</v>
      </c>
      <c r="G1077" s="275">
        <v>309179</v>
      </c>
      <c r="H1077" s="275">
        <v>461586</v>
      </c>
      <c r="I1077" s="275">
        <v>714326</v>
      </c>
      <c r="J1077" s="275">
        <v>714326</v>
      </c>
      <c r="K1077" s="275">
        <v>1279201</v>
      </c>
      <c r="L1077" s="275">
        <v>705698</v>
      </c>
      <c r="M1077" s="275">
        <v>1337774</v>
      </c>
      <c r="N1077" s="275">
        <v>697690</v>
      </c>
      <c r="O1077" s="275">
        <v>135323</v>
      </c>
      <c r="P1077" s="275">
        <v>761162</v>
      </c>
      <c r="Q1077" s="275">
        <v>269027</v>
      </c>
      <c r="R1077" s="275">
        <v>111800</v>
      </c>
      <c r="S1077" s="275">
        <v>14584</v>
      </c>
      <c r="T1077" s="275">
        <v>7010</v>
      </c>
      <c r="U1077" s="275">
        <v>1034271</v>
      </c>
      <c r="V1077" s="275">
        <v>986114</v>
      </c>
      <c r="W1077" s="275">
        <v>985000</v>
      </c>
      <c r="X1077" s="275">
        <v>809509</v>
      </c>
      <c r="Y1077" s="275">
        <v>1860957</v>
      </c>
      <c r="Z1077" s="275">
        <f ca="1">[1]ExtEntry!$P85</f>
        <v>1860957</v>
      </c>
      <c r="AB1077" s="298">
        <v>61</v>
      </c>
      <c r="AC1077" s="298">
        <v>63</v>
      </c>
      <c r="AD1077" s="298">
        <v>63</v>
      </c>
      <c r="AE1077" s="271">
        <v>65</v>
      </c>
      <c r="AF1077" s="271">
        <v>67</v>
      </c>
      <c r="AG1077" s="271">
        <v>78</v>
      </c>
      <c r="AH1077" s="271">
        <v>71</v>
      </c>
      <c r="AI1077" s="271">
        <v>87</v>
      </c>
      <c r="AJ1077" s="271">
        <v>86</v>
      </c>
      <c r="AK1077" s="271">
        <v>82</v>
      </c>
      <c r="AL1077" s="271">
        <v>81</v>
      </c>
      <c r="AM1077" s="271">
        <v>77</v>
      </c>
      <c r="AN1077" s="271">
        <v>77</v>
      </c>
      <c r="AO1077" s="298">
        <v>78</v>
      </c>
      <c r="AP1077" s="298">
        <v>77</v>
      </c>
      <c r="AQ1077" s="298">
        <v>68</v>
      </c>
      <c r="AR1077" s="298">
        <v>65</v>
      </c>
      <c r="AS1077" s="298">
        <v>56</v>
      </c>
      <c r="AT1077" s="298">
        <v>56</v>
      </c>
      <c r="AU1077" s="298">
        <v>37</v>
      </c>
      <c r="AV1077" s="298">
        <f t="shared" si="76"/>
        <v>37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6861503</v>
      </c>
      <c r="G1078" s="275">
        <v>1083843</v>
      </c>
      <c r="H1078" s="275">
        <v>1179632</v>
      </c>
      <c r="I1078" s="275">
        <v>4474836</v>
      </c>
      <c r="J1078" s="275">
        <v>4474836</v>
      </c>
      <c r="K1078" s="275">
        <v>3360886</v>
      </c>
      <c r="L1078" s="275">
        <v>4192963</v>
      </c>
      <c r="M1078" s="275">
        <v>14401680</v>
      </c>
      <c r="N1078" s="275">
        <v>5831313</v>
      </c>
      <c r="O1078" s="275">
        <v>1143077</v>
      </c>
      <c r="P1078" s="275">
        <v>741543</v>
      </c>
      <c r="Q1078" s="275">
        <v>1657975</v>
      </c>
      <c r="R1078" s="275">
        <v>1229666</v>
      </c>
      <c r="S1078" s="275">
        <v>985443</v>
      </c>
      <c r="T1078" s="275">
        <v>839134</v>
      </c>
      <c r="U1078" s="275">
        <v>3572600</v>
      </c>
      <c r="V1078" s="275">
        <v>2782483</v>
      </c>
      <c r="W1078" s="275">
        <v>3341620</v>
      </c>
      <c r="X1078" s="275">
        <v>3452995</v>
      </c>
      <c r="Y1078" s="275">
        <v>2095933</v>
      </c>
      <c r="Z1078" s="275">
        <f ca="1">[1]ExtEntry!$P86</f>
        <v>2095933</v>
      </c>
      <c r="AB1078" s="298">
        <v>76</v>
      </c>
      <c r="AC1078" s="298">
        <v>80</v>
      </c>
      <c r="AD1078" s="298">
        <v>80</v>
      </c>
      <c r="AE1078" s="271">
        <v>74</v>
      </c>
      <c r="AF1078" s="271">
        <v>70</v>
      </c>
      <c r="AG1078" s="271">
        <v>82</v>
      </c>
      <c r="AH1078" s="271">
        <v>71</v>
      </c>
      <c r="AI1078" s="271">
        <v>61</v>
      </c>
      <c r="AJ1078" s="271">
        <v>51</v>
      </c>
      <c r="AK1078" s="271">
        <v>33</v>
      </c>
      <c r="AL1078" s="271">
        <v>35</v>
      </c>
      <c r="AM1078" s="271">
        <v>31</v>
      </c>
      <c r="AN1078" s="271">
        <v>31</v>
      </c>
      <c r="AO1078" s="298">
        <v>27</v>
      </c>
      <c r="AP1078" s="298">
        <v>20</v>
      </c>
      <c r="AQ1078" s="298">
        <v>17</v>
      </c>
      <c r="AR1078" s="298">
        <v>21</v>
      </c>
      <c r="AS1078" s="298">
        <v>24</v>
      </c>
      <c r="AT1078" s="298">
        <v>33</v>
      </c>
      <c r="AU1078" s="298">
        <v>29</v>
      </c>
      <c r="AV1078" s="298">
        <f t="shared" si="76"/>
        <v>29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3071086</v>
      </c>
      <c r="G1079" s="275">
        <v>4457794</v>
      </c>
      <c r="H1079" s="275">
        <v>2315719</v>
      </c>
      <c r="I1079" s="275">
        <v>4871558</v>
      </c>
      <c r="J1079" s="275">
        <v>4871558</v>
      </c>
      <c r="K1079" s="275">
        <v>8069325</v>
      </c>
      <c r="L1079" s="275">
        <v>8639238</v>
      </c>
      <c r="M1079" s="275">
        <v>8974155</v>
      </c>
      <c r="N1079" s="275">
        <v>8579718</v>
      </c>
      <c r="O1079" s="275">
        <v>1988051</v>
      </c>
      <c r="P1079" s="275">
        <v>5796567</v>
      </c>
      <c r="Q1079" s="275">
        <v>2815013</v>
      </c>
      <c r="R1079" s="275">
        <v>1985066</v>
      </c>
      <c r="S1079" s="275">
        <v>8471</v>
      </c>
      <c r="T1079" s="275">
        <v>14160</v>
      </c>
      <c r="U1079" s="275">
        <v>7558305</v>
      </c>
      <c r="V1079" s="275">
        <v>5979350</v>
      </c>
      <c r="W1079" s="275">
        <v>7468285</v>
      </c>
      <c r="X1079" s="275">
        <v>4208506</v>
      </c>
      <c r="Y1079" s="275">
        <v>5316948</v>
      </c>
      <c r="Z1079" s="275">
        <f ca="1">[1]ExtEntry!$P87</f>
        <v>5316948</v>
      </c>
      <c r="AB1079" s="298">
        <v>50</v>
      </c>
      <c r="AC1079" s="298">
        <v>44</v>
      </c>
      <c r="AD1079" s="298">
        <v>44</v>
      </c>
      <c r="AE1079" s="271">
        <v>29</v>
      </c>
      <c r="AF1079" s="271">
        <v>27</v>
      </c>
      <c r="AG1079" s="271">
        <v>21</v>
      </c>
      <c r="AH1079" s="271">
        <v>34</v>
      </c>
      <c r="AI1079" s="271">
        <v>34</v>
      </c>
      <c r="AJ1079" s="271">
        <v>50</v>
      </c>
      <c r="AK1079" s="271">
        <v>55</v>
      </c>
      <c r="AL1079" s="271">
        <v>60</v>
      </c>
      <c r="AM1079" s="271">
        <v>60</v>
      </c>
      <c r="AN1079" s="271">
        <v>60</v>
      </c>
      <c r="AO1079" s="298">
        <v>42</v>
      </c>
      <c r="AP1079" s="298">
        <v>36</v>
      </c>
      <c r="AQ1079" s="298">
        <v>33</v>
      </c>
      <c r="AR1079" s="298">
        <v>34</v>
      </c>
      <c r="AS1079" s="298">
        <v>47</v>
      </c>
      <c r="AT1079" s="298">
        <v>46</v>
      </c>
      <c r="AU1079" s="298">
        <v>42</v>
      </c>
      <c r="AV1079" s="298">
        <f t="shared" si="76"/>
        <v>42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17805413</v>
      </c>
      <c r="G1080" s="275">
        <v>13235991</v>
      </c>
      <c r="H1080" s="275">
        <v>5212534</v>
      </c>
      <c r="I1080" s="275">
        <v>21452022</v>
      </c>
      <c r="J1080" s="275">
        <v>21452022</v>
      </c>
      <c r="K1080" s="275">
        <v>36418488</v>
      </c>
      <c r="L1080" s="275">
        <v>32303934</v>
      </c>
      <c r="M1080" s="275">
        <v>43133139</v>
      </c>
      <c r="N1080" s="275">
        <v>30627142</v>
      </c>
      <c r="O1080" s="275">
        <v>14199678</v>
      </c>
      <c r="P1080" s="275">
        <v>37029976</v>
      </c>
      <c r="Q1080" s="275">
        <v>19986254</v>
      </c>
      <c r="R1080" s="275">
        <v>5035558</v>
      </c>
      <c r="S1080" s="275">
        <v>80593</v>
      </c>
      <c r="T1080" s="275">
        <v>337328</v>
      </c>
      <c r="U1080" s="275">
        <v>49199815</v>
      </c>
      <c r="V1080" s="275">
        <v>32684045</v>
      </c>
      <c r="W1080" s="275">
        <v>32961724</v>
      </c>
      <c r="X1080" s="275">
        <v>31695900</v>
      </c>
      <c r="Y1080" s="275">
        <v>81074748</v>
      </c>
      <c r="Z1080" s="275">
        <f ca="1">[1]ExtEntry!$P88</f>
        <v>81074748</v>
      </c>
      <c r="AB1080" s="298">
        <v>58</v>
      </c>
      <c r="AC1080" s="298">
        <v>56</v>
      </c>
      <c r="AD1080" s="298">
        <v>56</v>
      </c>
      <c r="AE1080" s="271">
        <v>56</v>
      </c>
      <c r="AF1080" s="271">
        <v>60</v>
      </c>
      <c r="AG1080" s="271">
        <v>68</v>
      </c>
      <c r="AH1080" s="271">
        <v>63</v>
      </c>
      <c r="AI1080" s="271">
        <v>69</v>
      </c>
      <c r="AJ1080" s="271">
        <v>69</v>
      </c>
      <c r="AK1080" s="271">
        <v>59</v>
      </c>
      <c r="AL1080" s="271">
        <v>60</v>
      </c>
      <c r="AM1080" s="271">
        <v>45</v>
      </c>
      <c r="AN1080" s="271">
        <v>45</v>
      </c>
      <c r="AO1080" s="298">
        <v>44</v>
      </c>
      <c r="AP1080" s="298">
        <v>31</v>
      </c>
      <c r="AQ1080" s="298">
        <v>29</v>
      </c>
      <c r="AR1080" s="298">
        <v>33</v>
      </c>
      <c r="AS1080" s="298">
        <v>26</v>
      </c>
      <c r="AT1080" s="298">
        <v>27</v>
      </c>
      <c r="AU1080" s="298">
        <v>19</v>
      </c>
      <c r="AV1080" s="298">
        <f t="shared" si="76"/>
        <v>19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9183699</v>
      </c>
      <c r="G1081" s="275">
        <v>5129944</v>
      </c>
      <c r="H1081" s="275">
        <v>4237910</v>
      </c>
      <c r="I1081" s="275">
        <v>10908940</v>
      </c>
      <c r="J1081" s="275">
        <v>10908940</v>
      </c>
      <c r="K1081" s="275">
        <v>20966043</v>
      </c>
      <c r="L1081" s="275">
        <v>19223404</v>
      </c>
      <c r="M1081" s="275">
        <v>14623480</v>
      </c>
      <c r="N1081" s="275">
        <v>28326199</v>
      </c>
      <c r="O1081" s="275">
        <v>5670303</v>
      </c>
      <c r="P1081" s="275">
        <v>24473195</v>
      </c>
      <c r="Q1081" s="275">
        <v>6305686</v>
      </c>
      <c r="R1081" s="275">
        <v>3926109</v>
      </c>
      <c r="S1081" s="275">
        <v>3834</v>
      </c>
      <c r="T1081" s="275">
        <v>17873</v>
      </c>
      <c r="U1081" s="275">
        <v>28118508</v>
      </c>
      <c r="V1081" s="275">
        <v>18640732</v>
      </c>
      <c r="W1081" s="275">
        <v>24269029</v>
      </c>
      <c r="X1081" s="275">
        <v>17809059</v>
      </c>
      <c r="Y1081" s="275">
        <v>25770950</v>
      </c>
      <c r="Z1081" s="275">
        <f ca="1">[1]ExtEntry!$P89</f>
        <v>25770950</v>
      </c>
      <c r="AB1081" s="298">
        <v>58</v>
      </c>
      <c r="AC1081" s="298">
        <v>41</v>
      </c>
      <c r="AD1081" s="298">
        <v>41</v>
      </c>
      <c r="AE1081" s="271">
        <v>23</v>
      </c>
      <c r="AF1081" s="271">
        <v>23</v>
      </c>
      <c r="AG1081" s="271">
        <v>17</v>
      </c>
      <c r="AH1081" s="271">
        <v>24</v>
      </c>
      <c r="AI1081" s="271">
        <v>23</v>
      </c>
      <c r="AJ1081" s="271">
        <v>38</v>
      </c>
      <c r="AK1081" s="271">
        <v>38</v>
      </c>
      <c r="AL1081" s="271">
        <v>36</v>
      </c>
      <c r="AM1081" s="271">
        <v>28</v>
      </c>
      <c r="AN1081" s="271">
        <v>28</v>
      </c>
      <c r="AO1081" s="298">
        <v>22</v>
      </c>
      <c r="AP1081" s="298">
        <v>31</v>
      </c>
      <c r="AQ1081" s="298">
        <v>38</v>
      </c>
      <c r="AR1081" s="298">
        <v>38</v>
      </c>
      <c r="AS1081" s="298">
        <v>48</v>
      </c>
      <c r="AT1081" s="298">
        <v>53</v>
      </c>
      <c r="AU1081" s="298">
        <v>58</v>
      </c>
      <c r="AV1081" s="298">
        <f t="shared" si="76"/>
        <v>58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855433</v>
      </c>
      <c r="G1082" s="275">
        <v>427096</v>
      </c>
      <c r="H1082" s="275">
        <v>979713</v>
      </c>
      <c r="I1082" s="275">
        <v>1411443</v>
      </c>
      <c r="J1082" s="275">
        <v>1411443</v>
      </c>
      <c r="K1082" s="275">
        <v>2349361</v>
      </c>
      <c r="L1082" s="275">
        <v>2373431</v>
      </c>
      <c r="M1082" s="275">
        <v>2586210</v>
      </c>
      <c r="N1082" s="275">
        <v>3568698</v>
      </c>
      <c r="O1082" s="275">
        <v>634401</v>
      </c>
      <c r="P1082" s="275">
        <v>1928727</v>
      </c>
      <c r="Q1082" s="275">
        <v>438507</v>
      </c>
      <c r="R1082" s="275">
        <v>343279</v>
      </c>
      <c r="S1082" s="275">
        <v>2823862</v>
      </c>
      <c r="T1082" s="275">
        <v>592</v>
      </c>
      <c r="U1082" s="275">
        <v>4135489</v>
      </c>
      <c r="V1082" s="275">
        <v>2556634</v>
      </c>
      <c r="W1082" s="275">
        <v>2471989</v>
      </c>
      <c r="X1082" s="275">
        <v>2803889</v>
      </c>
      <c r="Y1082" s="275">
        <v>3566181</v>
      </c>
      <c r="Z1082" s="275">
        <f ca="1">[1]ExtEntry!$P90</f>
        <v>3566181</v>
      </c>
      <c r="AB1082" s="298">
        <v>17</v>
      </c>
      <c r="AC1082" s="298">
        <v>28</v>
      </c>
      <c r="AD1082" s="298">
        <v>28</v>
      </c>
      <c r="AE1082" s="271">
        <v>15</v>
      </c>
      <c r="AF1082" s="271">
        <v>16</v>
      </c>
      <c r="AG1082" s="271">
        <v>18</v>
      </c>
      <c r="AH1082" s="271">
        <v>16</v>
      </c>
      <c r="AI1082" s="271">
        <v>24</v>
      </c>
      <c r="AJ1082" s="271">
        <v>29</v>
      </c>
      <c r="AK1082" s="271">
        <v>42</v>
      </c>
      <c r="AL1082" s="271">
        <v>43</v>
      </c>
      <c r="AM1082" s="271">
        <v>38</v>
      </c>
      <c r="AN1082" s="271">
        <v>38</v>
      </c>
      <c r="AO1082" s="298">
        <v>39</v>
      </c>
      <c r="AP1082" s="298">
        <v>47</v>
      </c>
      <c r="AQ1082" s="298">
        <v>38</v>
      </c>
      <c r="AR1082" s="298">
        <v>56</v>
      </c>
      <c r="AS1082" s="298">
        <v>65</v>
      </c>
      <c r="AT1082" s="298">
        <v>70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3921073</v>
      </c>
      <c r="G1083" s="267">
        <v>2124112</v>
      </c>
      <c r="H1083" s="267">
        <v>1587262</v>
      </c>
      <c r="I1083" s="267">
        <v>3606372</v>
      </c>
      <c r="J1083" s="267">
        <v>3606372</v>
      </c>
      <c r="K1083" s="267">
        <v>7088290</v>
      </c>
      <c r="L1083" s="267">
        <v>6546950</v>
      </c>
      <c r="M1083" s="267">
        <v>5121556</v>
      </c>
      <c r="N1083" s="267">
        <v>4022098</v>
      </c>
      <c r="O1083" s="267">
        <v>1640357</v>
      </c>
      <c r="P1083" s="267">
        <v>6205702</v>
      </c>
      <c r="Q1083" s="267">
        <v>2797709</v>
      </c>
      <c r="R1083" s="267">
        <v>769772</v>
      </c>
      <c r="S1083" s="267">
        <v>1730</v>
      </c>
      <c r="T1083" s="267">
        <v>15810</v>
      </c>
      <c r="U1083" s="267">
        <v>5187995</v>
      </c>
      <c r="V1083" s="267">
        <v>4083907</v>
      </c>
      <c r="W1083" s="267">
        <v>5748811</v>
      </c>
      <c r="X1083" s="267">
        <v>3510914</v>
      </c>
      <c r="Y1083" s="267">
        <v>4613633</v>
      </c>
      <c r="Z1083" s="267">
        <f ca="1">[1]ExtEntry!$P91</f>
        <v>4613633</v>
      </c>
      <c r="AB1083" s="298">
        <v>56</v>
      </c>
      <c r="AC1083" s="298">
        <v>35</v>
      </c>
      <c r="AD1083" s="298">
        <v>35</v>
      </c>
      <c r="AE1083" s="271">
        <v>29</v>
      </c>
      <c r="AF1083" s="271">
        <v>22</v>
      </c>
      <c r="AG1083" s="271">
        <v>22</v>
      </c>
      <c r="AH1083" s="271">
        <v>23</v>
      </c>
      <c r="AI1083" s="271">
        <v>23</v>
      </c>
      <c r="AJ1083" s="271">
        <v>31</v>
      </c>
      <c r="AK1083" s="271">
        <v>43</v>
      </c>
      <c r="AL1083" s="271">
        <v>35</v>
      </c>
      <c r="AM1083" s="271">
        <v>28</v>
      </c>
      <c r="AN1083" s="271">
        <v>28</v>
      </c>
      <c r="AO1083" s="298">
        <v>20</v>
      </c>
      <c r="AP1083" s="298">
        <v>13</v>
      </c>
      <c r="AQ1083" s="298">
        <v>18</v>
      </c>
      <c r="AR1083" s="298">
        <v>16</v>
      </c>
      <c r="AS1083" s="298">
        <v>16</v>
      </c>
      <c r="AT1083" s="298">
        <v>24</v>
      </c>
      <c r="AU1083" s="298">
        <v>21</v>
      </c>
      <c r="AV1083" s="298">
        <f t="shared" si="76"/>
        <v>21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209190</v>
      </c>
      <c r="G1084" s="275">
        <v>274259</v>
      </c>
      <c r="H1084" s="275">
        <v>86720</v>
      </c>
      <c r="I1084" s="275">
        <v>797900</v>
      </c>
      <c r="J1084" s="275">
        <v>797900</v>
      </c>
      <c r="K1084" s="275">
        <v>1429735</v>
      </c>
      <c r="L1084" s="275">
        <v>1157698</v>
      </c>
      <c r="M1084" s="275">
        <v>720641</v>
      </c>
      <c r="N1084" s="275">
        <v>961334</v>
      </c>
      <c r="O1084" s="275">
        <v>101882</v>
      </c>
      <c r="P1084" s="275">
        <v>918324</v>
      </c>
      <c r="Q1084" s="275">
        <v>274831</v>
      </c>
      <c r="R1084" s="275">
        <v>62771</v>
      </c>
      <c r="S1084" s="275">
        <v>424</v>
      </c>
      <c r="T1084" s="275">
        <v>3989</v>
      </c>
      <c r="U1084" s="275">
        <v>1011843</v>
      </c>
      <c r="V1084" s="275">
        <v>1325890</v>
      </c>
      <c r="W1084" s="275">
        <v>2086644</v>
      </c>
      <c r="X1084" s="275">
        <v>724232</v>
      </c>
      <c r="Y1084" s="275">
        <v>850398</v>
      </c>
      <c r="Z1084" s="275">
        <f ca="1">[1]ExtEntry!$P92</f>
        <v>850398</v>
      </c>
      <c r="AB1084" s="298">
        <v>57</v>
      </c>
      <c r="AC1084" s="298">
        <v>51</v>
      </c>
      <c r="AD1084" s="298">
        <v>51</v>
      </c>
      <c r="AE1084" s="271">
        <v>72</v>
      </c>
      <c r="AF1084" s="271">
        <v>72</v>
      </c>
      <c r="AG1084" s="271">
        <v>73</v>
      </c>
      <c r="AH1084" s="271">
        <v>69</v>
      </c>
      <c r="AI1084" s="271">
        <v>68</v>
      </c>
      <c r="AJ1084" s="271">
        <v>77</v>
      </c>
      <c r="AK1084" s="271">
        <v>87</v>
      </c>
      <c r="AL1084" s="271">
        <v>86</v>
      </c>
      <c r="AM1084" s="271">
        <v>88</v>
      </c>
      <c r="AN1084" s="271">
        <v>88</v>
      </c>
      <c r="AO1084" s="298">
        <v>87</v>
      </c>
      <c r="AP1084" s="298">
        <v>91</v>
      </c>
      <c r="AQ1084" s="298">
        <v>85</v>
      </c>
      <c r="AR1084" s="298">
        <v>87</v>
      </c>
      <c r="AS1084" s="298">
        <v>73</v>
      </c>
      <c r="AT1084" s="298">
        <v>70</v>
      </c>
      <c r="AU1084" s="298">
        <v>63</v>
      </c>
      <c r="AV1084" s="298">
        <f t="shared" si="76"/>
        <v>63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3613441</v>
      </c>
      <c r="G1086" s="275">
        <v>1399149</v>
      </c>
      <c r="H1086" s="275">
        <v>915427</v>
      </c>
      <c r="I1086" s="275">
        <v>3702836</v>
      </c>
      <c r="J1086" s="275">
        <v>3702836</v>
      </c>
      <c r="K1086" s="275">
        <v>5414130</v>
      </c>
      <c r="L1086" s="275">
        <v>2527163</v>
      </c>
      <c r="M1086" s="275">
        <v>5373794</v>
      </c>
      <c r="N1086" s="275">
        <v>3098627</v>
      </c>
      <c r="O1086" s="275">
        <v>1900674</v>
      </c>
      <c r="P1086" s="275">
        <v>1005261</v>
      </c>
      <c r="Q1086" s="275">
        <v>2775338</v>
      </c>
      <c r="R1086" s="275">
        <v>1517247</v>
      </c>
      <c r="S1086" s="275">
        <v>987234</v>
      </c>
      <c r="T1086" s="275">
        <v>588847</v>
      </c>
      <c r="U1086" s="275">
        <v>4999432</v>
      </c>
      <c r="V1086" s="275">
        <v>3109067</v>
      </c>
      <c r="W1086" s="275">
        <v>2333736</v>
      </c>
      <c r="X1086" s="275">
        <v>2448197</v>
      </c>
      <c r="Y1086" s="275">
        <v>5059905</v>
      </c>
      <c r="Z1086" s="275">
        <f ca="1">[1]ExtEntry!$P94</f>
        <v>5059905</v>
      </c>
      <c r="AB1086" s="298">
        <v>48</v>
      </c>
      <c r="AC1086" s="298">
        <v>57</v>
      </c>
      <c r="AD1086" s="298">
        <v>57</v>
      </c>
      <c r="AE1086" s="271">
        <v>60</v>
      </c>
      <c r="AF1086" s="271">
        <v>59</v>
      </c>
      <c r="AG1086" s="271">
        <v>58</v>
      </c>
      <c r="AH1086" s="271">
        <v>53</v>
      </c>
      <c r="AI1086" s="271">
        <v>54</v>
      </c>
      <c r="AJ1086" s="271">
        <v>56</v>
      </c>
      <c r="AK1086" s="271">
        <v>49</v>
      </c>
      <c r="AL1086" s="271">
        <v>31</v>
      </c>
      <c r="AM1086" s="271">
        <v>26</v>
      </c>
      <c r="AN1086" s="271">
        <v>26</v>
      </c>
      <c r="AO1086" s="298">
        <v>25</v>
      </c>
      <c r="AP1086" s="298">
        <v>30</v>
      </c>
      <c r="AQ1086" s="298">
        <v>39</v>
      </c>
      <c r="AR1086" s="298">
        <v>39</v>
      </c>
      <c r="AS1086" s="298">
        <v>42</v>
      </c>
      <c r="AT1086" s="298">
        <v>43</v>
      </c>
      <c r="AU1086" s="298">
        <v>52</v>
      </c>
      <c r="AV1086" s="298">
        <f t="shared" si="76"/>
        <v>52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87573</v>
      </c>
      <c r="G1087" s="374">
        <v>31566</v>
      </c>
      <c r="H1087" s="374">
        <v>29851</v>
      </c>
      <c r="I1087" s="374">
        <v>298347</v>
      </c>
      <c r="J1087" s="374">
        <v>298347</v>
      </c>
      <c r="K1087" s="374">
        <v>14098</v>
      </c>
      <c r="L1087" s="374">
        <v>30828</v>
      </c>
      <c r="M1087" s="374">
        <v>37958</v>
      </c>
      <c r="N1087" s="374">
        <v>117729</v>
      </c>
      <c r="O1087" s="374">
        <v>88058</v>
      </c>
      <c r="P1087" s="374">
        <v>13905</v>
      </c>
      <c r="Q1087" s="374">
        <v>34538</v>
      </c>
      <c r="R1087" s="374">
        <v>42915</v>
      </c>
      <c r="S1087" s="374">
        <v>6161</v>
      </c>
      <c r="T1087" s="374">
        <v>43023</v>
      </c>
      <c r="U1087" s="374">
        <v>47801</v>
      </c>
      <c r="V1087" s="374">
        <v>25217</v>
      </c>
      <c r="W1087" s="374">
        <v>39607</v>
      </c>
      <c r="X1087" s="374">
        <v>33165</v>
      </c>
      <c r="Y1087" s="374">
        <v>102675</v>
      </c>
      <c r="Z1087" s="267">
        <f ca="1">[1]ExtEntry!$P95</f>
        <v>102675</v>
      </c>
      <c r="AB1087" s="298">
        <v>37</v>
      </c>
      <c r="AC1087" s="298">
        <v>32</v>
      </c>
      <c r="AD1087" s="298">
        <v>32</v>
      </c>
      <c r="AE1087" s="298">
        <v>34</v>
      </c>
      <c r="AF1087" s="298">
        <v>30</v>
      </c>
      <c r="AG1087" s="298">
        <v>30</v>
      </c>
      <c r="AH1087" s="298">
        <v>40</v>
      </c>
      <c r="AI1087" s="298">
        <v>38</v>
      </c>
      <c r="AJ1087" s="298">
        <v>53</v>
      </c>
      <c r="AK1087" s="298">
        <v>68</v>
      </c>
      <c r="AL1087" s="298">
        <v>65</v>
      </c>
      <c r="AM1087" s="298">
        <v>58</v>
      </c>
      <c r="AN1087" s="298">
        <v>58</v>
      </c>
      <c r="AO1087" s="298">
        <v>57</v>
      </c>
      <c r="AP1087" s="298">
        <v>65</v>
      </c>
      <c r="AQ1087" s="298">
        <v>68</v>
      </c>
      <c r="AR1087" s="298">
        <v>67</v>
      </c>
      <c r="AS1087" s="298">
        <v>70</v>
      </c>
      <c r="AT1087" s="298">
        <v>73</v>
      </c>
      <c r="AU1087" s="298">
        <v>72</v>
      </c>
      <c r="AV1087" s="298">
        <f t="shared" si="76"/>
        <v>72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45887</v>
      </c>
      <c r="G1092" s="128">
        <f t="shared" si="78"/>
        <v>45888</v>
      </c>
      <c r="H1092" s="128">
        <f t="shared" si="78"/>
        <v>45889</v>
      </c>
      <c r="I1092" s="128">
        <f t="shared" si="78"/>
        <v>45890</v>
      </c>
      <c r="J1092" s="128">
        <f t="shared" si="78"/>
        <v>45891</v>
      </c>
      <c r="K1092" s="128">
        <f t="shared" si="78"/>
        <v>45894</v>
      </c>
      <c r="L1092" s="128">
        <f t="shared" si="78"/>
        <v>45895</v>
      </c>
      <c r="M1092" s="128">
        <f t="shared" si="78"/>
        <v>45896</v>
      </c>
      <c r="N1092" s="128">
        <f t="shared" si="78"/>
        <v>45897</v>
      </c>
      <c r="O1092" s="128">
        <f t="shared" si="78"/>
        <v>45898</v>
      </c>
      <c r="P1092" s="128">
        <f t="shared" si="78"/>
        <v>45901</v>
      </c>
      <c r="Q1092" s="128">
        <f t="shared" si="78"/>
        <v>45902</v>
      </c>
      <c r="R1092" s="128">
        <f t="shared" si="78"/>
        <v>45903</v>
      </c>
      <c r="S1092" s="128">
        <f t="shared" si="78"/>
        <v>45904</v>
      </c>
      <c r="T1092" s="128">
        <f t="shared" si="78"/>
        <v>45905</v>
      </c>
      <c r="U1092" s="128">
        <f t="shared" si="78"/>
        <v>45908</v>
      </c>
      <c r="V1092" s="128">
        <f t="shared" si="78"/>
        <v>45909</v>
      </c>
      <c r="W1092" s="128">
        <f t="shared" si="78"/>
        <v>45910</v>
      </c>
      <c r="X1092" s="128">
        <f t="shared" si="78"/>
        <v>45911</v>
      </c>
      <c r="Y1092" s="128">
        <f t="shared" si="78"/>
        <v>45912</v>
      </c>
      <c r="Z1092" s="128">
        <f t="shared" ca="1" si="78"/>
        <v>45912</v>
      </c>
      <c r="AB1092" s="128">
        <f t="shared" ref="AB1092:AV1092" si="79">F993</f>
        <v>45887</v>
      </c>
      <c r="AC1092" s="128">
        <f t="shared" si="79"/>
        <v>45888</v>
      </c>
      <c r="AD1092" s="128">
        <f t="shared" si="79"/>
        <v>45889</v>
      </c>
      <c r="AE1092" s="128">
        <f t="shared" si="79"/>
        <v>45890</v>
      </c>
      <c r="AF1092" s="128">
        <f t="shared" si="79"/>
        <v>45891</v>
      </c>
      <c r="AG1092" s="128">
        <f t="shared" si="79"/>
        <v>45894</v>
      </c>
      <c r="AH1092" s="128">
        <f t="shared" si="79"/>
        <v>45895</v>
      </c>
      <c r="AI1092" s="128">
        <f t="shared" si="79"/>
        <v>45896</v>
      </c>
      <c r="AJ1092" s="128">
        <f t="shared" si="79"/>
        <v>45897</v>
      </c>
      <c r="AK1092" s="128">
        <f t="shared" si="79"/>
        <v>45898</v>
      </c>
      <c r="AL1092" s="128">
        <f t="shared" si="79"/>
        <v>45901</v>
      </c>
      <c r="AM1092" s="128">
        <f t="shared" si="79"/>
        <v>45902</v>
      </c>
      <c r="AN1092" s="128">
        <f t="shared" si="79"/>
        <v>45903</v>
      </c>
      <c r="AO1092" s="128">
        <f t="shared" si="79"/>
        <v>45904</v>
      </c>
      <c r="AP1092" s="128">
        <f t="shared" si="79"/>
        <v>45905</v>
      </c>
      <c r="AQ1092" s="128">
        <f t="shared" si="79"/>
        <v>45908</v>
      </c>
      <c r="AR1092" s="128">
        <f t="shared" si="79"/>
        <v>45909</v>
      </c>
      <c r="AS1092" s="128">
        <f t="shared" si="79"/>
        <v>45910</v>
      </c>
      <c r="AT1092" s="128">
        <f t="shared" si="79"/>
        <v>45911</v>
      </c>
      <c r="AU1092" s="128">
        <f t="shared" si="79"/>
        <v>45912</v>
      </c>
      <c r="AV1092" s="128">
        <f t="shared" ca="1" si="79"/>
        <v>45912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59201591</v>
      </c>
      <c r="G1094" s="267">
        <v>59500497</v>
      </c>
      <c r="H1094" s="267">
        <v>60151411</v>
      </c>
      <c r="I1094" s="267">
        <v>60096854</v>
      </c>
      <c r="J1094" s="267">
        <v>60096854</v>
      </c>
      <c r="K1094" s="267">
        <v>59981103</v>
      </c>
      <c r="L1094" s="267">
        <v>58814289</v>
      </c>
      <c r="M1094" s="267">
        <v>57998517</v>
      </c>
      <c r="N1094" s="267">
        <v>58325359</v>
      </c>
      <c r="O1094" s="267">
        <v>57696167</v>
      </c>
      <c r="P1094" s="267">
        <v>57378250</v>
      </c>
      <c r="Q1094" s="267">
        <v>57344237</v>
      </c>
      <c r="R1094" s="267">
        <v>57592942</v>
      </c>
      <c r="S1094" s="267">
        <v>57592942</v>
      </c>
      <c r="T1094" s="267">
        <v>58275063</v>
      </c>
      <c r="U1094" s="267">
        <v>57241941</v>
      </c>
      <c r="V1094" s="267">
        <v>55024542</v>
      </c>
      <c r="W1094" s="267">
        <v>54672727</v>
      </c>
      <c r="X1094" s="267">
        <v>56244156</v>
      </c>
      <c r="Y1094" s="267">
        <v>53913175</v>
      </c>
      <c r="Z1094" s="267">
        <f ca="1">[1]ExtEntry!$Q3</f>
        <v>53913175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-1284827.3599999999</v>
      </c>
      <c r="AR1094" s="341">
        <v>-1284827.3599999999</v>
      </c>
      <c r="AS1094" s="341">
        <v>-1284827.3599999999</v>
      </c>
      <c r="AT1094" s="341">
        <v>-1215722.3599999999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536133</v>
      </c>
      <c r="G1095" s="275">
        <v>539366</v>
      </c>
      <c r="H1095" s="275">
        <v>540370</v>
      </c>
      <c r="I1095" s="275">
        <v>531557</v>
      </c>
      <c r="J1095" s="275">
        <v>531557</v>
      </c>
      <c r="K1095" s="275">
        <v>531866</v>
      </c>
      <c r="L1095" s="275">
        <v>523579</v>
      </c>
      <c r="M1095" s="275">
        <v>528443</v>
      </c>
      <c r="N1095" s="275">
        <v>537305</v>
      </c>
      <c r="O1095" s="275">
        <v>540145</v>
      </c>
      <c r="P1095" s="275">
        <v>545269</v>
      </c>
      <c r="Q1095" s="275">
        <v>561354</v>
      </c>
      <c r="R1095" s="275">
        <v>562473</v>
      </c>
      <c r="S1095" s="275">
        <v>562473</v>
      </c>
      <c r="T1095" s="275">
        <v>549053</v>
      </c>
      <c r="U1095" s="275">
        <v>543499</v>
      </c>
      <c r="V1095" s="275">
        <v>537384</v>
      </c>
      <c r="W1095" s="275">
        <v>532388</v>
      </c>
      <c r="X1095" s="275">
        <v>523507</v>
      </c>
      <c r="Y1095" s="275">
        <v>493280</v>
      </c>
      <c r="Z1095" s="275">
        <f ca="1">[1]ExtEntry!$Q4</f>
        <v>493280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467690</v>
      </c>
      <c r="G1096" s="267">
        <v>455460</v>
      </c>
      <c r="H1096" s="267">
        <v>426020</v>
      </c>
      <c r="I1096" s="267">
        <v>426020</v>
      </c>
      <c r="J1096" s="267">
        <v>426020</v>
      </c>
      <c r="K1096" s="267">
        <v>440560</v>
      </c>
      <c r="L1096" s="267">
        <v>471310</v>
      </c>
      <c r="M1096" s="267">
        <v>471310</v>
      </c>
      <c r="N1096" s="267">
        <v>405780</v>
      </c>
      <c r="O1096" s="267">
        <v>405780</v>
      </c>
      <c r="P1096" s="267">
        <v>424650</v>
      </c>
      <c r="Q1096" s="267">
        <v>424650</v>
      </c>
      <c r="R1096" s="267">
        <v>412820</v>
      </c>
      <c r="S1096" s="267">
        <v>452690</v>
      </c>
      <c r="T1096" s="267">
        <v>577000</v>
      </c>
      <c r="U1096" s="267">
        <v>808440</v>
      </c>
      <c r="V1096" s="267">
        <v>940690</v>
      </c>
      <c r="W1096" s="267">
        <v>1011010</v>
      </c>
      <c r="X1096" s="267">
        <v>1011010</v>
      </c>
      <c r="Y1096" s="267">
        <v>1141210</v>
      </c>
      <c r="Z1096" s="267">
        <f ca="1">[1]ExtEntry!$Q5</f>
        <v>1141210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-162250.3130395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44849683</v>
      </c>
      <c r="G1097" s="275">
        <v>46096693</v>
      </c>
      <c r="H1097" s="275">
        <v>45661930</v>
      </c>
      <c r="I1097" s="275">
        <v>45243782</v>
      </c>
      <c r="J1097" s="275">
        <v>45243782</v>
      </c>
      <c r="K1097" s="275">
        <v>45043131</v>
      </c>
      <c r="L1097" s="275">
        <v>44916513</v>
      </c>
      <c r="M1097" s="275">
        <v>44209958</v>
      </c>
      <c r="N1097" s="275">
        <v>43754825</v>
      </c>
      <c r="O1097" s="275">
        <v>43473210</v>
      </c>
      <c r="P1097" s="275">
        <v>43104303</v>
      </c>
      <c r="Q1097" s="275">
        <v>43003786</v>
      </c>
      <c r="R1097" s="275">
        <v>43505536</v>
      </c>
      <c r="S1097" s="275">
        <v>43505536</v>
      </c>
      <c r="T1097" s="275">
        <v>44381753</v>
      </c>
      <c r="U1097" s="275">
        <v>41676334</v>
      </c>
      <c r="V1097" s="275">
        <v>38143866</v>
      </c>
      <c r="W1097" s="275">
        <v>36109612</v>
      </c>
      <c r="X1097" s="275">
        <v>36485715</v>
      </c>
      <c r="Y1097" s="275">
        <v>35792217</v>
      </c>
      <c r="Z1097" s="275">
        <f ca="1">[1]ExtEntry!$Q6</f>
        <v>35792217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-943616.22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3450</v>
      </c>
      <c r="G1098" s="267">
        <v>3450</v>
      </c>
      <c r="H1098" s="267">
        <v>3160</v>
      </c>
      <c r="I1098" s="267">
        <v>3160</v>
      </c>
      <c r="J1098" s="267">
        <v>3160</v>
      </c>
      <c r="K1098" s="267">
        <v>3270</v>
      </c>
      <c r="L1098" s="267">
        <v>3210</v>
      </c>
      <c r="M1098" s="267">
        <v>3210</v>
      </c>
      <c r="N1098" s="267">
        <v>3270</v>
      </c>
      <c r="O1098" s="267">
        <v>3270</v>
      </c>
      <c r="P1098" s="267">
        <v>3570</v>
      </c>
      <c r="Q1098" s="267">
        <v>3570</v>
      </c>
      <c r="R1098" s="267">
        <v>4170</v>
      </c>
      <c r="S1098" s="267">
        <v>3670</v>
      </c>
      <c r="T1098" s="267">
        <v>4030</v>
      </c>
      <c r="U1098" s="267">
        <v>4060</v>
      </c>
      <c r="V1098" s="267">
        <v>3980</v>
      </c>
      <c r="W1098" s="267">
        <v>4110</v>
      </c>
      <c r="X1098" s="267">
        <v>4110</v>
      </c>
      <c r="Y1098" s="267">
        <v>5220</v>
      </c>
      <c r="Z1098" s="267">
        <f ca="1">[1]ExtEntry!$Q7</f>
        <v>5220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-86570.643403090537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557990</v>
      </c>
      <c r="G1099" s="275">
        <v>564170</v>
      </c>
      <c r="H1099" s="275">
        <v>477170</v>
      </c>
      <c r="I1099" s="275">
        <v>477170</v>
      </c>
      <c r="J1099" s="275">
        <v>477170</v>
      </c>
      <c r="K1099" s="275">
        <v>459410</v>
      </c>
      <c r="L1099" s="275">
        <v>408950</v>
      </c>
      <c r="M1099" s="275">
        <v>408950</v>
      </c>
      <c r="N1099" s="275">
        <v>425980</v>
      </c>
      <c r="O1099" s="275">
        <v>425980</v>
      </c>
      <c r="P1099" s="275">
        <v>446460</v>
      </c>
      <c r="Q1099" s="275">
        <v>446460</v>
      </c>
      <c r="R1099" s="275">
        <v>443910</v>
      </c>
      <c r="S1099" s="275">
        <v>470620</v>
      </c>
      <c r="T1099" s="275">
        <v>475690</v>
      </c>
      <c r="U1099" s="275">
        <v>551270</v>
      </c>
      <c r="V1099" s="275">
        <v>551270</v>
      </c>
      <c r="W1099" s="275">
        <v>555880</v>
      </c>
      <c r="X1099" s="275">
        <v>555880</v>
      </c>
      <c r="Y1099" s="275">
        <v>556550</v>
      </c>
      <c r="Z1099" s="275">
        <f ca="1">[1]ExtEntry!$Q8</f>
        <v>556550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-3072632.49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-3383732.49</v>
      </c>
      <c r="AN1099" s="341">
        <v>-3383732.49</v>
      </c>
      <c r="AO1099" s="341">
        <v>-3383732.49</v>
      </c>
      <c r="AP1099" s="341">
        <v>-3383732.49</v>
      </c>
      <c r="AQ1099" s="341">
        <v>-3249172.3650000002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5057279</v>
      </c>
      <c r="G1100" s="275">
        <v>5124140</v>
      </c>
      <c r="H1100" s="275">
        <v>5205380</v>
      </c>
      <c r="I1100" s="275">
        <v>5190014</v>
      </c>
      <c r="J1100" s="275">
        <v>5190014</v>
      </c>
      <c r="K1100" s="275">
        <v>5209932</v>
      </c>
      <c r="L1100" s="275">
        <v>5189097</v>
      </c>
      <c r="M1100" s="275">
        <v>5196053</v>
      </c>
      <c r="N1100" s="275">
        <v>5284131</v>
      </c>
      <c r="O1100" s="275">
        <v>5277570</v>
      </c>
      <c r="P1100" s="275">
        <v>5168124</v>
      </c>
      <c r="Q1100" s="275">
        <v>5033021</v>
      </c>
      <c r="R1100" s="275">
        <v>4846650</v>
      </c>
      <c r="S1100" s="275">
        <v>4846650</v>
      </c>
      <c r="T1100" s="275">
        <v>4151554</v>
      </c>
      <c r="U1100" s="275">
        <v>3906149</v>
      </c>
      <c r="V1100" s="275">
        <v>3618956</v>
      </c>
      <c r="W1100" s="275">
        <v>3573585</v>
      </c>
      <c r="X1100" s="275">
        <v>3520499</v>
      </c>
      <c r="Y1100" s="275">
        <v>3515797</v>
      </c>
      <c r="Z1100" s="275">
        <f ca="1">[1]ExtEntry!$Q9</f>
        <v>3515797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5919007</v>
      </c>
      <c r="G1101" s="275">
        <v>5712972</v>
      </c>
      <c r="H1101" s="275">
        <v>5822941</v>
      </c>
      <c r="I1101" s="275">
        <v>5769244</v>
      </c>
      <c r="J1101" s="275">
        <v>5769244</v>
      </c>
      <c r="K1101" s="275">
        <v>5565190</v>
      </c>
      <c r="L1101" s="275">
        <v>5331267</v>
      </c>
      <c r="M1101" s="275">
        <v>5201822</v>
      </c>
      <c r="N1101" s="275">
        <v>5086339</v>
      </c>
      <c r="O1101" s="275">
        <v>4936141</v>
      </c>
      <c r="P1101" s="275">
        <v>4370381</v>
      </c>
      <c r="Q1101" s="275">
        <v>4094766</v>
      </c>
      <c r="R1101" s="275">
        <v>4028673</v>
      </c>
      <c r="S1101" s="275">
        <v>4028673</v>
      </c>
      <c r="T1101" s="275">
        <v>3843547</v>
      </c>
      <c r="U1101" s="275">
        <v>3682306</v>
      </c>
      <c r="V1101" s="275">
        <v>3570291</v>
      </c>
      <c r="W1101" s="275">
        <v>3611572</v>
      </c>
      <c r="X1101" s="275">
        <v>3761140</v>
      </c>
      <c r="Y1101" s="275">
        <v>3885888</v>
      </c>
      <c r="Z1101" s="275">
        <f ca="1">[1]ExtEntry!$Q10</f>
        <v>3885888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-24817.165000000008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68721</v>
      </c>
      <c r="G1102" s="275">
        <v>1635178</v>
      </c>
      <c r="H1102" s="275">
        <v>1661712</v>
      </c>
      <c r="I1102" s="275">
        <v>1661702</v>
      </c>
      <c r="J1102" s="275">
        <v>1661702</v>
      </c>
      <c r="K1102" s="275">
        <v>1663679</v>
      </c>
      <c r="L1102" s="275">
        <v>1667367</v>
      </c>
      <c r="M1102" s="275">
        <v>1667552</v>
      </c>
      <c r="N1102" s="275">
        <v>1669207</v>
      </c>
      <c r="O1102" s="275">
        <v>1670764</v>
      </c>
      <c r="P1102" s="275">
        <v>1667493</v>
      </c>
      <c r="Q1102" s="275">
        <v>1668796</v>
      </c>
      <c r="R1102" s="275">
        <v>1669532</v>
      </c>
      <c r="S1102" s="275">
        <v>1669532</v>
      </c>
      <c r="T1102" s="275">
        <v>1946755</v>
      </c>
      <c r="U1102" s="275">
        <v>1949317</v>
      </c>
      <c r="V1102" s="275">
        <v>1955879</v>
      </c>
      <c r="W1102" s="275">
        <v>1968703</v>
      </c>
      <c r="X1102" s="275">
        <v>1968946</v>
      </c>
      <c r="Y1102" s="275">
        <v>1968839</v>
      </c>
      <c r="Z1102" s="275">
        <f ca="1">[1]ExtEntry!$Q11</f>
        <v>1968839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-55188.130000000005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16486855</v>
      </c>
      <c r="G1103" s="275">
        <v>16634871</v>
      </c>
      <c r="H1103" s="275">
        <v>16704648</v>
      </c>
      <c r="I1103" s="275">
        <v>16517854</v>
      </c>
      <c r="J1103" s="275">
        <v>16517854</v>
      </c>
      <c r="K1103" s="275">
        <v>15407195</v>
      </c>
      <c r="L1103" s="275">
        <v>14900521</v>
      </c>
      <c r="M1103" s="275">
        <v>14770621</v>
      </c>
      <c r="N1103" s="275">
        <v>14600559</v>
      </c>
      <c r="O1103" s="275">
        <v>14159589</v>
      </c>
      <c r="P1103" s="275">
        <v>13968969</v>
      </c>
      <c r="Q1103" s="275">
        <v>13761735</v>
      </c>
      <c r="R1103" s="275">
        <v>13592066</v>
      </c>
      <c r="S1103" s="275">
        <v>13592066</v>
      </c>
      <c r="T1103" s="275">
        <v>13587708</v>
      </c>
      <c r="U1103" s="275">
        <v>13682988</v>
      </c>
      <c r="V1103" s="275">
        <v>13429918</v>
      </c>
      <c r="W1103" s="275">
        <v>13689526</v>
      </c>
      <c r="X1103" s="275">
        <v>13385613</v>
      </c>
      <c r="Y1103" s="275">
        <v>13396526</v>
      </c>
      <c r="Z1103" s="275">
        <f ca="1">[1]ExtEntry!$Q12</f>
        <v>13396526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18778921</v>
      </c>
      <c r="G1104" s="275">
        <v>19751372</v>
      </c>
      <c r="H1104" s="275">
        <v>20798488</v>
      </c>
      <c r="I1104" s="275">
        <v>20976569</v>
      </c>
      <c r="J1104" s="275">
        <v>20976569</v>
      </c>
      <c r="K1104" s="275">
        <v>21168650</v>
      </c>
      <c r="L1104" s="275">
        <v>20869946</v>
      </c>
      <c r="M1104" s="275">
        <v>20751956</v>
      </c>
      <c r="N1104" s="275">
        <v>21303185</v>
      </c>
      <c r="O1104" s="275">
        <v>21336562</v>
      </c>
      <c r="P1104" s="275">
        <v>21405442</v>
      </c>
      <c r="Q1104" s="275">
        <v>21539960</v>
      </c>
      <c r="R1104" s="275">
        <v>21474778</v>
      </c>
      <c r="S1104" s="275">
        <v>21474778</v>
      </c>
      <c r="T1104" s="275">
        <v>21391928</v>
      </c>
      <c r="U1104" s="275">
        <v>21492790</v>
      </c>
      <c r="V1104" s="275">
        <v>21188310</v>
      </c>
      <c r="W1104" s="275">
        <v>20972197</v>
      </c>
      <c r="X1104" s="275">
        <v>20942396</v>
      </c>
      <c r="Y1104" s="275">
        <v>20720517</v>
      </c>
      <c r="Z1104" s="275">
        <f ca="1">[1]ExtEntry!$Q13</f>
        <v>20720517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8555021</v>
      </c>
      <c r="G1105" s="275">
        <v>8536811</v>
      </c>
      <c r="H1105" s="275">
        <v>8586012</v>
      </c>
      <c r="I1105" s="275">
        <v>8681286</v>
      </c>
      <c r="J1105" s="275">
        <v>8681286</v>
      </c>
      <c r="K1105" s="275">
        <v>8652369</v>
      </c>
      <c r="L1105" s="275">
        <v>8542114</v>
      </c>
      <c r="M1105" s="275">
        <v>8448786</v>
      </c>
      <c r="N1105" s="275">
        <v>8394648</v>
      </c>
      <c r="O1105" s="275">
        <v>8320227</v>
      </c>
      <c r="P1105" s="275">
        <v>8030491</v>
      </c>
      <c r="Q1105" s="275">
        <v>7850992</v>
      </c>
      <c r="R1105" s="275">
        <v>7852365</v>
      </c>
      <c r="S1105" s="275">
        <v>7852365</v>
      </c>
      <c r="T1105" s="275">
        <v>7265373</v>
      </c>
      <c r="U1105" s="275">
        <v>6371666</v>
      </c>
      <c r="V1105" s="275">
        <v>6449441</v>
      </c>
      <c r="W1105" s="275">
        <v>6558210</v>
      </c>
      <c r="X1105" s="275">
        <v>6653805</v>
      </c>
      <c r="Y1105" s="275">
        <v>6841102</v>
      </c>
      <c r="Z1105" s="275">
        <f ca="1">[1]ExtEntry!$Q14</f>
        <v>6841102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3791240</v>
      </c>
      <c r="G1106" s="275">
        <v>3878664</v>
      </c>
      <c r="H1106" s="275">
        <v>3963864</v>
      </c>
      <c r="I1106" s="275">
        <v>4080230</v>
      </c>
      <c r="J1106" s="275">
        <v>4080230</v>
      </c>
      <c r="K1106" s="275">
        <v>4147614</v>
      </c>
      <c r="L1106" s="275">
        <v>4140943</v>
      </c>
      <c r="M1106" s="275">
        <v>4047063</v>
      </c>
      <c r="N1106" s="275">
        <v>4023866</v>
      </c>
      <c r="O1106" s="275">
        <v>4567468</v>
      </c>
      <c r="P1106" s="275">
        <v>4437164</v>
      </c>
      <c r="Q1106" s="275">
        <v>4460381</v>
      </c>
      <c r="R1106" s="275">
        <v>4480613</v>
      </c>
      <c r="S1106" s="275">
        <v>4480613</v>
      </c>
      <c r="T1106" s="275">
        <v>4638924</v>
      </c>
      <c r="U1106" s="275">
        <v>4649994</v>
      </c>
      <c r="V1106" s="275">
        <v>4655907</v>
      </c>
      <c r="W1106" s="275">
        <v>4657615</v>
      </c>
      <c r="X1106" s="275">
        <v>4653734</v>
      </c>
      <c r="Y1106" s="275">
        <v>4691479</v>
      </c>
      <c r="Z1106" s="275">
        <f ca="1">[1]ExtEntry!$Q15</f>
        <v>4691479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-144083.51250000001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8649969</v>
      </c>
      <c r="G1107" s="275">
        <v>8646266</v>
      </c>
      <c r="H1107" s="275">
        <v>8672513</v>
      </c>
      <c r="I1107" s="275">
        <v>8630317</v>
      </c>
      <c r="J1107" s="275">
        <v>8630317</v>
      </c>
      <c r="K1107" s="275">
        <v>8549129</v>
      </c>
      <c r="L1107" s="275">
        <v>8324228</v>
      </c>
      <c r="M1107" s="275">
        <v>8285526</v>
      </c>
      <c r="N1107" s="275">
        <v>8292443</v>
      </c>
      <c r="O1107" s="275">
        <v>8137205</v>
      </c>
      <c r="P1107" s="275">
        <v>8096623</v>
      </c>
      <c r="Q1107" s="275">
        <v>8078864</v>
      </c>
      <c r="R1107" s="275">
        <v>8077813</v>
      </c>
      <c r="S1107" s="275">
        <v>8077813</v>
      </c>
      <c r="T1107" s="275">
        <v>8144722</v>
      </c>
      <c r="U1107" s="275">
        <v>8122087</v>
      </c>
      <c r="V1107" s="275">
        <v>8034602</v>
      </c>
      <c r="W1107" s="275">
        <v>7898570</v>
      </c>
      <c r="X1107" s="275">
        <v>7583338</v>
      </c>
      <c r="Y1107" s="275">
        <v>7033153</v>
      </c>
      <c r="Z1107" s="275">
        <f ca="1">[1]ExtEntry!$Q16</f>
        <v>7033153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-31798.147025000042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1418590</v>
      </c>
      <c r="G1108" s="275">
        <v>1436230</v>
      </c>
      <c r="H1108" s="275">
        <v>1349020</v>
      </c>
      <c r="I1108" s="275">
        <v>1349020</v>
      </c>
      <c r="J1108" s="275">
        <v>1349020</v>
      </c>
      <c r="K1108" s="275">
        <v>1330290</v>
      </c>
      <c r="L1108" s="275">
        <v>1215990</v>
      </c>
      <c r="M1108" s="275">
        <v>1230690</v>
      </c>
      <c r="N1108" s="275">
        <v>1391220</v>
      </c>
      <c r="O1108" s="275">
        <v>1391220</v>
      </c>
      <c r="P1108" s="275">
        <v>1528900</v>
      </c>
      <c r="Q1108" s="275">
        <v>1528900</v>
      </c>
      <c r="R1108" s="275">
        <v>1522740</v>
      </c>
      <c r="S1108" s="275">
        <v>1573480</v>
      </c>
      <c r="T1108" s="275">
        <v>1588100</v>
      </c>
      <c r="U1108" s="275">
        <v>1799050</v>
      </c>
      <c r="V1108" s="275">
        <v>1832370</v>
      </c>
      <c r="W1108" s="275">
        <v>1785550</v>
      </c>
      <c r="X1108" s="275">
        <v>1785550</v>
      </c>
      <c r="Y1108" s="275">
        <v>1768220</v>
      </c>
      <c r="Z1108" s="275">
        <f ca="1">[1]ExtEntry!$Q17</f>
        <v>1768220</v>
      </c>
      <c r="AB1108" s="341">
        <v>-163877.59200000006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-163876.96700000006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862903</v>
      </c>
      <c r="G1109" s="275">
        <v>861165</v>
      </c>
      <c r="H1109" s="275">
        <v>868501</v>
      </c>
      <c r="I1109" s="275">
        <v>872879</v>
      </c>
      <c r="J1109" s="275">
        <v>872879</v>
      </c>
      <c r="K1109" s="275">
        <v>875835</v>
      </c>
      <c r="L1109" s="275">
        <v>867987</v>
      </c>
      <c r="M1109" s="275">
        <v>863382</v>
      </c>
      <c r="N1109" s="275">
        <v>862630</v>
      </c>
      <c r="O1109" s="275">
        <v>834672</v>
      </c>
      <c r="P1109" s="275">
        <v>832961</v>
      </c>
      <c r="Q1109" s="275">
        <v>833232</v>
      </c>
      <c r="R1109" s="275">
        <v>857201</v>
      </c>
      <c r="S1109" s="275">
        <v>857201</v>
      </c>
      <c r="T1109" s="275">
        <v>867802</v>
      </c>
      <c r="U1109" s="275">
        <v>867674</v>
      </c>
      <c r="V1109" s="275">
        <v>875515</v>
      </c>
      <c r="W1109" s="275">
        <v>868230</v>
      </c>
      <c r="X1109" s="275">
        <v>843340</v>
      </c>
      <c r="Y1109" s="275">
        <v>737762</v>
      </c>
      <c r="Z1109" s="275">
        <f ca="1">[1]ExtEntry!$Q18</f>
        <v>737762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-12478.310000000056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1935935</v>
      </c>
      <c r="G1110" s="275">
        <v>1887503</v>
      </c>
      <c r="H1110" s="275">
        <v>1876242</v>
      </c>
      <c r="I1110" s="275">
        <v>1890671</v>
      </c>
      <c r="J1110" s="275">
        <v>1890671</v>
      </c>
      <c r="K1110" s="275">
        <v>1904460</v>
      </c>
      <c r="L1110" s="275">
        <v>1905078</v>
      </c>
      <c r="M1110" s="275">
        <v>1897691</v>
      </c>
      <c r="N1110" s="275">
        <v>1913595</v>
      </c>
      <c r="O1110" s="275">
        <v>1921534</v>
      </c>
      <c r="P1110" s="275">
        <v>1880636</v>
      </c>
      <c r="Q1110" s="275">
        <v>1879384</v>
      </c>
      <c r="R1110" s="275">
        <v>1872432</v>
      </c>
      <c r="S1110" s="275">
        <v>1872432</v>
      </c>
      <c r="T1110" s="275">
        <v>1843100</v>
      </c>
      <c r="U1110" s="275">
        <v>1777294</v>
      </c>
      <c r="V1110" s="275">
        <v>1649236</v>
      </c>
      <c r="W1110" s="275">
        <v>1627171</v>
      </c>
      <c r="X1110" s="275">
        <v>1591045</v>
      </c>
      <c r="Y1110" s="275">
        <v>1586907</v>
      </c>
      <c r="Z1110" s="275">
        <f ca="1">[1]ExtEntry!$Q19</f>
        <v>1586907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-39299.304049999977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3687660</v>
      </c>
      <c r="G1111" s="275">
        <v>3907630</v>
      </c>
      <c r="H1111" s="275">
        <v>3780100</v>
      </c>
      <c r="I1111" s="275">
        <v>3780100</v>
      </c>
      <c r="J1111" s="275">
        <v>3780100</v>
      </c>
      <c r="K1111" s="275">
        <v>3601080</v>
      </c>
      <c r="L1111" s="275">
        <v>3796190</v>
      </c>
      <c r="M1111" s="275">
        <v>3796190</v>
      </c>
      <c r="N1111" s="275">
        <v>3854780</v>
      </c>
      <c r="O1111" s="275">
        <v>3854780</v>
      </c>
      <c r="P1111" s="275">
        <v>3755740</v>
      </c>
      <c r="Q1111" s="275">
        <v>3755740</v>
      </c>
      <c r="R1111" s="275">
        <v>3738460</v>
      </c>
      <c r="S1111" s="275">
        <v>3846200</v>
      </c>
      <c r="T1111" s="275">
        <v>3759440</v>
      </c>
      <c r="U1111" s="275">
        <v>4158470</v>
      </c>
      <c r="V1111" s="275">
        <v>4405700</v>
      </c>
      <c r="W1111" s="275">
        <v>4179220</v>
      </c>
      <c r="X1111" s="275">
        <v>4102740</v>
      </c>
      <c r="Y1111" s="275">
        <v>3992280</v>
      </c>
      <c r="Z1111" s="275">
        <f ca="1">[1]ExtEntry!$Q20</f>
        <v>3992280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511346</v>
      </c>
      <c r="G1112" s="275">
        <v>536282</v>
      </c>
      <c r="H1112" s="275">
        <v>542228</v>
      </c>
      <c r="I1112" s="275">
        <v>427705</v>
      </c>
      <c r="J1112" s="275">
        <v>427705</v>
      </c>
      <c r="K1112" s="275">
        <v>404068</v>
      </c>
      <c r="L1112" s="275">
        <v>422185</v>
      </c>
      <c r="M1112" s="275">
        <v>7549720</v>
      </c>
      <c r="N1112" s="275">
        <v>11886954</v>
      </c>
      <c r="O1112" s="275">
        <v>12542897</v>
      </c>
      <c r="P1112" s="275">
        <v>12952859</v>
      </c>
      <c r="Q1112" s="275">
        <v>13342256</v>
      </c>
      <c r="R1112" s="275">
        <v>13591752</v>
      </c>
      <c r="S1112" s="275">
        <v>13591752</v>
      </c>
      <c r="T1112" s="275">
        <v>13842832</v>
      </c>
      <c r="U1112" s="275">
        <v>13911904</v>
      </c>
      <c r="V1112" s="275">
        <v>14003762</v>
      </c>
      <c r="W1112" s="275">
        <v>14102041</v>
      </c>
      <c r="X1112" s="275">
        <v>14502497</v>
      </c>
      <c r="Y1112" s="275">
        <v>14556431</v>
      </c>
      <c r="Z1112" s="275">
        <f ca="1">[1]ExtEntry!$Q21</f>
        <v>14556431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9482420</v>
      </c>
      <c r="G1113" s="275">
        <v>9492227</v>
      </c>
      <c r="H1113" s="275">
        <v>9408188</v>
      </c>
      <c r="I1113" s="275">
        <v>9400462</v>
      </c>
      <c r="J1113" s="275">
        <v>9400462</v>
      </c>
      <c r="K1113" s="275">
        <v>9331870</v>
      </c>
      <c r="L1113" s="275">
        <v>9340010</v>
      </c>
      <c r="M1113" s="275">
        <v>8969867</v>
      </c>
      <c r="N1113" s="275">
        <v>7910614</v>
      </c>
      <c r="O1113" s="275">
        <v>7278257</v>
      </c>
      <c r="P1113" s="275">
        <v>7157846</v>
      </c>
      <c r="Q1113" s="275">
        <v>7097094</v>
      </c>
      <c r="R1113" s="275">
        <v>7045968</v>
      </c>
      <c r="S1113" s="275">
        <v>7045968</v>
      </c>
      <c r="T1113" s="275">
        <v>6899790</v>
      </c>
      <c r="U1113" s="275">
        <v>6616708</v>
      </c>
      <c r="V1113" s="275">
        <v>6491075</v>
      </c>
      <c r="W1113" s="275">
        <v>6379030</v>
      </c>
      <c r="X1113" s="275">
        <v>6390804</v>
      </c>
      <c r="Y1113" s="275">
        <v>6407525</v>
      </c>
      <c r="Z1113" s="275">
        <f ca="1">[1]ExtEntry!$Q22</f>
        <v>6407525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16022625</v>
      </c>
      <c r="G1114" s="275">
        <v>14948940</v>
      </c>
      <c r="H1114" s="275">
        <v>14713783</v>
      </c>
      <c r="I1114" s="275">
        <v>14713091</v>
      </c>
      <c r="J1114" s="275">
        <v>14713091</v>
      </c>
      <c r="K1114" s="275">
        <v>14701845</v>
      </c>
      <c r="L1114" s="275">
        <v>14989613</v>
      </c>
      <c r="M1114" s="275">
        <v>15067269</v>
      </c>
      <c r="N1114" s="275">
        <v>15210001</v>
      </c>
      <c r="O1114" s="275">
        <v>15500200</v>
      </c>
      <c r="P1114" s="275">
        <v>16009690</v>
      </c>
      <c r="Q1114" s="275">
        <v>16451107</v>
      </c>
      <c r="R1114" s="275">
        <v>16705036</v>
      </c>
      <c r="S1114" s="275">
        <v>16705036</v>
      </c>
      <c r="T1114" s="275">
        <v>19278360</v>
      </c>
      <c r="U1114" s="275">
        <v>19797168</v>
      </c>
      <c r="V1114" s="275">
        <v>19974468</v>
      </c>
      <c r="W1114" s="275">
        <v>20061191</v>
      </c>
      <c r="X1114" s="275">
        <v>20427674</v>
      </c>
      <c r="Y1114" s="275">
        <v>20505196</v>
      </c>
      <c r="Z1114" s="275">
        <f ca="1">[1]ExtEntry!$Q23</f>
        <v>20505196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0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7378190</v>
      </c>
      <c r="G1115" s="275">
        <v>7335646</v>
      </c>
      <c r="H1115" s="275">
        <v>7367845</v>
      </c>
      <c r="I1115" s="275">
        <v>7220565</v>
      </c>
      <c r="J1115" s="275">
        <v>7220565</v>
      </c>
      <c r="K1115" s="275">
        <v>7236206</v>
      </c>
      <c r="L1115" s="275">
        <v>7256539</v>
      </c>
      <c r="M1115" s="275">
        <v>7383782</v>
      </c>
      <c r="N1115" s="275">
        <v>7547245</v>
      </c>
      <c r="O1115" s="275">
        <v>7726653</v>
      </c>
      <c r="P1115" s="275">
        <v>8290035</v>
      </c>
      <c r="Q1115" s="275">
        <v>8546760</v>
      </c>
      <c r="R1115" s="275">
        <v>8841392</v>
      </c>
      <c r="S1115" s="275">
        <v>8841392</v>
      </c>
      <c r="T1115" s="275">
        <v>9085272</v>
      </c>
      <c r="U1115" s="275">
        <v>8926543</v>
      </c>
      <c r="V1115" s="275">
        <v>8931957</v>
      </c>
      <c r="W1115" s="275">
        <v>9079974</v>
      </c>
      <c r="X1115" s="275">
        <v>9192520</v>
      </c>
      <c r="Y1115" s="275">
        <v>9189413</v>
      </c>
      <c r="Z1115" s="275">
        <f ca="1">[1]ExtEntry!$Q24</f>
        <v>9189413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0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16758170</v>
      </c>
      <c r="G1116" s="275">
        <v>17292440</v>
      </c>
      <c r="H1116" s="275">
        <v>14883920</v>
      </c>
      <c r="I1116" s="275">
        <v>14883920</v>
      </c>
      <c r="J1116" s="275">
        <v>14883920</v>
      </c>
      <c r="K1116" s="275">
        <v>14254430</v>
      </c>
      <c r="L1116" s="275">
        <v>13167380</v>
      </c>
      <c r="M1116" s="275">
        <v>13167380</v>
      </c>
      <c r="N1116" s="275">
        <v>10768040</v>
      </c>
      <c r="O1116" s="275">
        <v>10768040</v>
      </c>
      <c r="P1116" s="275">
        <v>9140910</v>
      </c>
      <c r="Q1116" s="275">
        <v>9140910</v>
      </c>
      <c r="R1116" s="275">
        <v>9299940</v>
      </c>
      <c r="S1116" s="275">
        <v>9808690</v>
      </c>
      <c r="T1116" s="275">
        <v>10562780</v>
      </c>
      <c r="U1116" s="275">
        <v>11107170</v>
      </c>
      <c r="V1116" s="275">
        <v>12018270</v>
      </c>
      <c r="W1116" s="275">
        <v>12104800</v>
      </c>
      <c r="X1116" s="275">
        <v>13300020</v>
      </c>
      <c r="Y1116" s="275">
        <v>14227630</v>
      </c>
      <c r="Z1116" s="275">
        <f ca="1">[1]ExtEntry!$Q25</f>
        <v>14227630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6499335</v>
      </c>
      <c r="G1117" s="275">
        <v>6489700</v>
      </c>
      <c r="H1117" s="275">
        <v>6498797</v>
      </c>
      <c r="I1117" s="275">
        <v>6503185</v>
      </c>
      <c r="J1117" s="275">
        <v>6503185</v>
      </c>
      <c r="K1117" s="275">
        <v>6546291</v>
      </c>
      <c r="L1117" s="275">
        <v>6547894</v>
      </c>
      <c r="M1117" s="275">
        <v>6544462</v>
      </c>
      <c r="N1117" s="275">
        <v>6557696</v>
      </c>
      <c r="O1117" s="275">
        <v>6552045</v>
      </c>
      <c r="P1117" s="275">
        <v>6633333</v>
      </c>
      <c r="Q1117" s="275">
        <v>6714360</v>
      </c>
      <c r="R1117" s="275">
        <v>6687954</v>
      </c>
      <c r="S1117" s="275">
        <v>6687954</v>
      </c>
      <c r="T1117" s="275">
        <v>6792744</v>
      </c>
      <c r="U1117" s="275">
        <v>6579765</v>
      </c>
      <c r="V1117" s="275">
        <v>6695801</v>
      </c>
      <c r="W1117" s="275">
        <v>6772776</v>
      </c>
      <c r="X1117" s="275">
        <v>6914886</v>
      </c>
      <c r="Y1117" s="275">
        <v>7193621</v>
      </c>
      <c r="Z1117" s="275">
        <f ca="1">[1]ExtEntry!$Q26</f>
        <v>7193621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60554</v>
      </c>
      <c r="G1118" s="275">
        <v>60949</v>
      </c>
      <c r="H1118" s="275">
        <v>61074</v>
      </c>
      <c r="I1118" s="275">
        <v>59490</v>
      </c>
      <c r="J1118" s="275">
        <v>59490</v>
      </c>
      <c r="K1118" s="275">
        <v>59718</v>
      </c>
      <c r="L1118" s="275">
        <v>58587</v>
      </c>
      <c r="M1118" s="275">
        <v>57932</v>
      </c>
      <c r="N1118" s="275">
        <v>55723</v>
      </c>
      <c r="O1118" s="275">
        <v>55244</v>
      </c>
      <c r="P1118" s="275">
        <v>57108</v>
      </c>
      <c r="Q1118" s="275">
        <v>58732</v>
      </c>
      <c r="R1118" s="275">
        <v>60391</v>
      </c>
      <c r="S1118" s="275">
        <v>60391</v>
      </c>
      <c r="T1118" s="275">
        <v>66414</v>
      </c>
      <c r="U1118" s="275">
        <v>64714</v>
      </c>
      <c r="V1118" s="275">
        <v>63901</v>
      </c>
      <c r="W1118" s="275">
        <v>64495</v>
      </c>
      <c r="X1118" s="275">
        <v>66471</v>
      </c>
      <c r="Y1118" s="275">
        <v>69487</v>
      </c>
      <c r="Z1118" s="275">
        <f ca="1">[1]ExtEntry!$Q27</f>
        <v>69487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11182062</v>
      </c>
      <c r="G1119" s="275">
        <v>11427619</v>
      </c>
      <c r="H1119" s="275">
        <v>11569117</v>
      </c>
      <c r="I1119" s="275">
        <v>11880211</v>
      </c>
      <c r="J1119" s="275">
        <v>11880211</v>
      </c>
      <c r="K1119" s="275">
        <v>11983363</v>
      </c>
      <c r="L1119" s="275">
        <v>12161729</v>
      </c>
      <c r="M1119" s="275">
        <v>12260286</v>
      </c>
      <c r="N1119" s="275">
        <v>12242075</v>
      </c>
      <c r="O1119" s="275">
        <v>12835812</v>
      </c>
      <c r="P1119" s="275">
        <v>13486791</v>
      </c>
      <c r="Q1119" s="275">
        <v>13609039</v>
      </c>
      <c r="R1119" s="275">
        <v>13652609</v>
      </c>
      <c r="S1119" s="275">
        <v>13652609</v>
      </c>
      <c r="T1119" s="275">
        <v>14480944</v>
      </c>
      <c r="U1119" s="275">
        <v>14580707</v>
      </c>
      <c r="V1119" s="275">
        <v>13534993</v>
      </c>
      <c r="W1119" s="275">
        <v>13859227</v>
      </c>
      <c r="X1119" s="275">
        <v>14306926</v>
      </c>
      <c r="Y1119" s="275">
        <v>14848445</v>
      </c>
      <c r="Z1119" s="275">
        <f ca="1">[1]ExtEntry!$Q28</f>
        <v>14848445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8479361</v>
      </c>
      <c r="G1120" s="275">
        <v>8243598</v>
      </c>
      <c r="H1120" s="275">
        <v>8342137</v>
      </c>
      <c r="I1120" s="275">
        <v>8297805</v>
      </c>
      <c r="J1120" s="275">
        <v>8297805</v>
      </c>
      <c r="K1120" s="275">
        <v>8173797</v>
      </c>
      <c r="L1120" s="275">
        <v>8249768</v>
      </c>
      <c r="M1120" s="275">
        <v>8545371</v>
      </c>
      <c r="N1120" s="275">
        <v>8736099</v>
      </c>
      <c r="O1120" s="275">
        <v>8982953</v>
      </c>
      <c r="P1120" s="275">
        <v>9142754</v>
      </c>
      <c r="Q1120" s="275">
        <v>9259428</v>
      </c>
      <c r="R1120" s="275">
        <v>9604988</v>
      </c>
      <c r="S1120" s="275">
        <v>9604988</v>
      </c>
      <c r="T1120" s="275">
        <v>9768259</v>
      </c>
      <c r="U1120" s="275">
        <v>9710608</v>
      </c>
      <c r="V1120" s="275">
        <v>9583339</v>
      </c>
      <c r="W1120" s="275">
        <v>9650892</v>
      </c>
      <c r="X1120" s="275">
        <v>9733685</v>
      </c>
      <c r="Y1120" s="275">
        <v>9797621</v>
      </c>
      <c r="Z1120" s="275">
        <f ca="1">[1]ExtEntry!$Q29</f>
        <v>9797621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-788108.32232499996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19484709</v>
      </c>
      <c r="G1121" s="275">
        <v>19635523</v>
      </c>
      <c r="H1121" s="275">
        <v>19985673</v>
      </c>
      <c r="I1121" s="275">
        <v>20453743</v>
      </c>
      <c r="J1121" s="275">
        <v>20453743</v>
      </c>
      <c r="K1121" s="275">
        <v>20715895</v>
      </c>
      <c r="L1121" s="275">
        <v>21380826</v>
      </c>
      <c r="M1121" s="275">
        <v>21683697</v>
      </c>
      <c r="N1121" s="275">
        <v>22362380</v>
      </c>
      <c r="O1121" s="275">
        <v>22397632</v>
      </c>
      <c r="P1121" s="275">
        <v>22473976</v>
      </c>
      <c r="Q1121" s="275">
        <v>22547410</v>
      </c>
      <c r="R1121" s="275">
        <v>22700209</v>
      </c>
      <c r="S1121" s="275">
        <v>22700209</v>
      </c>
      <c r="T1121" s="275">
        <v>22260405</v>
      </c>
      <c r="U1121" s="275">
        <v>21475506</v>
      </c>
      <c r="V1121" s="275">
        <v>20987241</v>
      </c>
      <c r="W1121" s="275">
        <v>20549703</v>
      </c>
      <c r="X1121" s="275">
        <v>20647313</v>
      </c>
      <c r="Y1121" s="275">
        <v>20548349</v>
      </c>
      <c r="Z1121" s="275">
        <f ca="1">[1]ExtEntry!$Q30</f>
        <v>20548349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-63874.939999999944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8562921</v>
      </c>
      <c r="G1122" s="275">
        <v>8555907</v>
      </c>
      <c r="H1122" s="275">
        <v>9168063</v>
      </c>
      <c r="I1122" s="275">
        <v>9253976</v>
      </c>
      <c r="J1122" s="275">
        <v>9253976</v>
      </c>
      <c r="K1122" s="275">
        <v>9220664</v>
      </c>
      <c r="L1122" s="275">
        <v>9569107</v>
      </c>
      <c r="M1122" s="275">
        <v>9488633</v>
      </c>
      <c r="N1122" s="275">
        <v>9413836</v>
      </c>
      <c r="O1122" s="275">
        <v>8969817</v>
      </c>
      <c r="P1122" s="275">
        <v>8959861</v>
      </c>
      <c r="Q1122" s="275">
        <v>9088091</v>
      </c>
      <c r="R1122" s="275">
        <v>9108262</v>
      </c>
      <c r="S1122" s="275">
        <v>9108262</v>
      </c>
      <c r="T1122" s="275">
        <v>9419875</v>
      </c>
      <c r="U1122" s="275">
        <v>9468770</v>
      </c>
      <c r="V1122" s="275">
        <v>9707483</v>
      </c>
      <c r="W1122" s="275">
        <v>9737520</v>
      </c>
      <c r="X1122" s="275">
        <v>9820541</v>
      </c>
      <c r="Y1122" s="275">
        <v>9808463</v>
      </c>
      <c r="Z1122" s="275">
        <f ca="1">[1]ExtEntry!$Q31</f>
        <v>9808463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11988370</v>
      </c>
      <c r="G1123" s="275">
        <v>11872579</v>
      </c>
      <c r="H1123" s="275">
        <v>11822670</v>
      </c>
      <c r="I1123" s="275">
        <v>11724966</v>
      </c>
      <c r="J1123" s="275">
        <v>11724966</v>
      </c>
      <c r="K1123" s="275">
        <v>10889618</v>
      </c>
      <c r="L1123" s="275">
        <v>10013796</v>
      </c>
      <c r="M1123" s="275">
        <v>9940881</v>
      </c>
      <c r="N1123" s="275">
        <v>9994536</v>
      </c>
      <c r="O1123" s="275">
        <v>9822116</v>
      </c>
      <c r="P1123" s="275">
        <v>9566849</v>
      </c>
      <c r="Q1123" s="275">
        <v>8648149</v>
      </c>
      <c r="R1123" s="275">
        <v>8780568</v>
      </c>
      <c r="S1123" s="275">
        <v>8780568</v>
      </c>
      <c r="T1123" s="275">
        <v>8707968</v>
      </c>
      <c r="U1123" s="275">
        <v>8703205</v>
      </c>
      <c r="V1123" s="275">
        <v>8656271</v>
      </c>
      <c r="W1123" s="275">
        <v>8684393</v>
      </c>
      <c r="X1123" s="275">
        <v>8761268</v>
      </c>
      <c r="Y1123" s="275">
        <v>8752411</v>
      </c>
      <c r="Z1123" s="275">
        <f ca="1">[1]ExtEntry!$Q32</f>
        <v>8752411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0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3791024</v>
      </c>
      <c r="G1124" s="275">
        <v>3777751</v>
      </c>
      <c r="H1124" s="275">
        <v>3730177</v>
      </c>
      <c r="I1124" s="275">
        <v>3703379</v>
      </c>
      <c r="J1124" s="275">
        <v>3703379</v>
      </c>
      <c r="K1124" s="275">
        <v>3739619</v>
      </c>
      <c r="L1124" s="275">
        <v>3228399</v>
      </c>
      <c r="M1124" s="275">
        <v>3115777</v>
      </c>
      <c r="N1124" s="275">
        <v>2992686</v>
      </c>
      <c r="O1124" s="275">
        <v>2879097</v>
      </c>
      <c r="P1124" s="275">
        <v>2803287</v>
      </c>
      <c r="Q1124" s="275">
        <v>2826510</v>
      </c>
      <c r="R1124" s="275">
        <v>2780762</v>
      </c>
      <c r="S1124" s="275">
        <v>2780762</v>
      </c>
      <c r="T1124" s="275">
        <v>2773553</v>
      </c>
      <c r="U1124" s="275">
        <v>2720222</v>
      </c>
      <c r="V1124" s="275">
        <v>2641186</v>
      </c>
      <c r="W1124" s="275">
        <v>2640185</v>
      </c>
      <c r="X1124" s="275">
        <v>2641796</v>
      </c>
      <c r="Y1124" s="275">
        <v>2734601</v>
      </c>
      <c r="Z1124" s="275">
        <f ca="1">[1]ExtEntry!$Q33</f>
        <v>2734601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2847517</v>
      </c>
      <c r="G1125" s="275">
        <v>2872483</v>
      </c>
      <c r="H1125" s="275">
        <v>2854639</v>
      </c>
      <c r="I1125" s="275">
        <v>2844708</v>
      </c>
      <c r="J1125" s="275">
        <v>2844708</v>
      </c>
      <c r="K1125" s="275">
        <v>2856207</v>
      </c>
      <c r="L1125" s="275">
        <v>2660741</v>
      </c>
      <c r="M1125" s="275">
        <v>2825699</v>
      </c>
      <c r="N1125" s="275">
        <v>2933524</v>
      </c>
      <c r="O1125" s="275">
        <v>3100352</v>
      </c>
      <c r="P1125" s="275">
        <v>3101483</v>
      </c>
      <c r="Q1125" s="275">
        <v>259573</v>
      </c>
      <c r="R1125" s="275">
        <v>271112</v>
      </c>
      <c r="S1125" s="275">
        <v>271112</v>
      </c>
      <c r="T1125" s="275">
        <v>260248</v>
      </c>
      <c r="U1125" s="275">
        <v>270464</v>
      </c>
      <c r="V1125" s="275">
        <v>278189</v>
      </c>
      <c r="W1125" s="275">
        <v>280279</v>
      </c>
      <c r="X1125" s="275">
        <v>296128</v>
      </c>
      <c r="Y1125" s="275">
        <v>294965</v>
      </c>
      <c r="Z1125" s="275">
        <f ca="1">[1]ExtEntry!$Q34</f>
        <v>294965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-198706.70049999998</v>
      </c>
      <c r="AK1125" s="341">
        <v>-198706.70049999998</v>
      </c>
      <c r="AL1125" s="341">
        <v>-198706.70049999998</v>
      </c>
      <c r="AM1125" s="341">
        <v>-227036.61749999999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-226947.36749999999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-215816.11749999999</v>
      </c>
      <c r="AV1125" s="341">
        <f ca="1">Calc!BD34</f>
        <v>-215816.11749999999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5219131</v>
      </c>
      <c r="G1126" s="275">
        <v>5182240</v>
      </c>
      <c r="H1126" s="275">
        <v>5005752</v>
      </c>
      <c r="I1126" s="275">
        <v>4850307</v>
      </c>
      <c r="J1126" s="275">
        <v>4850307</v>
      </c>
      <c r="K1126" s="275">
        <v>4790693</v>
      </c>
      <c r="L1126" s="275">
        <v>4701053</v>
      </c>
      <c r="M1126" s="275">
        <v>4591337</v>
      </c>
      <c r="N1126" s="275">
        <v>4522997</v>
      </c>
      <c r="O1126" s="275">
        <v>4468805</v>
      </c>
      <c r="P1126" s="275">
        <v>4460277</v>
      </c>
      <c r="Q1126" s="275">
        <v>4463702</v>
      </c>
      <c r="R1126" s="275">
        <v>4773896</v>
      </c>
      <c r="S1126" s="275">
        <v>4773896</v>
      </c>
      <c r="T1126" s="275">
        <v>5002407</v>
      </c>
      <c r="U1126" s="275">
        <v>5107695</v>
      </c>
      <c r="V1126" s="275">
        <v>5272683</v>
      </c>
      <c r="W1126" s="275">
        <v>5464555</v>
      </c>
      <c r="X1126" s="275">
        <v>5531032</v>
      </c>
      <c r="Y1126" s="275">
        <v>5482939</v>
      </c>
      <c r="Z1126" s="275">
        <f ca="1">[1]ExtEntry!$Q35</f>
        <v>5482939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-14752.700000000012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0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29180</v>
      </c>
      <c r="G1127" s="275">
        <v>28882</v>
      </c>
      <c r="H1127" s="275">
        <v>52383</v>
      </c>
      <c r="I1127" s="275">
        <v>127822</v>
      </c>
      <c r="J1127" s="275">
        <v>127822</v>
      </c>
      <c r="K1127" s="275">
        <v>131393</v>
      </c>
      <c r="L1127" s="275">
        <v>133024</v>
      </c>
      <c r="M1127" s="275">
        <v>133555</v>
      </c>
      <c r="N1127" s="275">
        <v>133865</v>
      </c>
      <c r="O1127" s="275">
        <v>134397</v>
      </c>
      <c r="P1127" s="275">
        <v>135193</v>
      </c>
      <c r="Q1127" s="275">
        <v>136358</v>
      </c>
      <c r="R1127" s="275">
        <v>137182</v>
      </c>
      <c r="S1127" s="275">
        <v>137182</v>
      </c>
      <c r="T1127" s="275">
        <v>137615</v>
      </c>
      <c r="U1127" s="275">
        <v>137498</v>
      </c>
      <c r="V1127" s="275">
        <v>140168</v>
      </c>
      <c r="W1127" s="275">
        <v>141110</v>
      </c>
      <c r="X1127" s="275">
        <v>142723</v>
      </c>
      <c r="Y1127" s="275">
        <v>146803</v>
      </c>
      <c r="Z1127" s="275">
        <f ca="1">[1]ExtEntry!$Q36</f>
        <v>146803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2831499</v>
      </c>
      <c r="G1128" s="275">
        <v>2550845</v>
      </c>
      <c r="H1128" s="275">
        <v>2453792</v>
      </c>
      <c r="I1128" s="275">
        <v>2363762</v>
      </c>
      <c r="J1128" s="275">
        <v>2363762</v>
      </c>
      <c r="K1128" s="275">
        <v>2274348</v>
      </c>
      <c r="L1128" s="275">
        <v>1991299</v>
      </c>
      <c r="M1128" s="275">
        <v>1898360</v>
      </c>
      <c r="N1128" s="275">
        <v>1777262</v>
      </c>
      <c r="O1128" s="275">
        <v>1660472</v>
      </c>
      <c r="P1128" s="275">
        <v>1620899</v>
      </c>
      <c r="Q1128" s="275">
        <v>1629213</v>
      </c>
      <c r="R1128" s="275">
        <v>1546385</v>
      </c>
      <c r="S1128" s="275">
        <v>1546385</v>
      </c>
      <c r="T1128" s="275">
        <v>1424264</v>
      </c>
      <c r="U1128" s="275">
        <v>1370149</v>
      </c>
      <c r="V1128" s="275">
        <v>1340353</v>
      </c>
      <c r="W1128" s="275">
        <v>1306453</v>
      </c>
      <c r="X1128" s="275">
        <v>1305036</v>
      </c>
      <c r="Y1128" s="275">
        <v>1316474</v>
      </c>
      <c r="Z1128" s="275">
        <f ca="1">[1]ExtEntry!$Q37</f>
        <v>1316474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-33.788724999991246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54534</v>
      </c>
      <c r="G1129" s="275">
        <v>54911</v>
      </c>
      <c r="H1129" s="275">
        <v>65727</v>
      </c>
      <c r="I1129" s="275">
        <v>67562</v>
      </c>
      <c r="J1129" s="275">
        <v>67562</v>
      </c>
      <c r="K1129" s="275">
        <v>70545</v>
      </c>
      <c r="L1129" s="275">
        <v>74641</v>
      </c>
      <c r="M1129" s="275">
        <v>75662</v>
      </c>
      <c r="N1129" s="275">
        <v>75733</v>
      </c>
      <c r="O1129" s="275">
        <v>79310</v>
      </c>
      <c r="P1129" s="275">
        <v>133554</v>
      </c>
      <c r="Q1129" s="275">
        <v>140361</v>
      </c>
      <c r="R1129" s="275">
        <v>143878</v>
      </c>
      <c r="S1129" s="275">
        <v>143878</v>
      </c>
      <c r="T1129" s="275">
        <v>146306</v>
      </c>
      <c r="U1129" s="275">
        <v>156169</v>
      </c>
      <c r="V1129" s="275">
        <v>157609</v>
      </c>
      <c r="W1129" s="275">
        <v>158475</v>
      </c>
      <c r="X1129" s="275">
        <v>156176</v>
      </c>
      <c r="Y1129" s="275">
        <v>155978</v>
      </c>
      <c r="Z1129" s="275">
        <f ca="1">[1]ExtEntry!$Q38</f>
        <v>155978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-4985.540874999997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501757</v>
      </c>
      <c r="G1130" s="275">
        <v>524717</v>
      </c>
      <c r="H1130" s="275">
        <v>546677</v>
      </c>
      <c r="I1130" s="275">
        <v>586438</v>
      </c>
      <c r="J1130" s="275">
        <v>586438</v>
      </c>
      <c r="K1130" s="275">
        <v>607669</v>
      </c>
      <c r="L1130" s="275">
        <v>712407</v>
      </c>
      <c r="M1130" s="275">
        <v>739780</v>
      </c>
      <c r="N1130" s="275">
        <v>762938</v>
      </c>
      <c r="O1130" s="275">
        <v>781023</v>
      </c>
      <c r="P1130" s="275">
        <v>808442</v>
      </c>
      <c r="Q1130" s="275">
        <v>835741</v>
      </c>
      <c r="R1130" s="275">
        <v>847049</v>
      </c>
      <c r="S1130" s="275">
        <v>847049</v>
      </c>
      <c r="T1130" s="275">
        <v>882309</v>
      </c>
      <c r="U1130" s="275">
        <v>894035</v>
      </c>
      <c r="V1130" s="275">
        <v>920542</v>
      </c>
      <c r="W1130" s="275">
        <v>942736</v>
      </c>
      <c r="X1130" s="275">
        <v>921449</v>
      </c>
      <c r="Y1130" s="275">
        <v>855890</v>
      </c>
      <c r="Z1130" s="275">
        <f ca="1">[1]ExtEntry!$Q39</f>
        <v>855890</v>
      </c>
      <c r="AB1130" s="341">
        <v>-3313.7599999999948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0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1350680</v>
      </c>
      <c r="G1131" s="275">
        <v>1333580</v>
      </c>
      <c r="H1131" s="275">
        <v>1780320</v>
      </c>
      <c r="I1131" s="275">
        <v>1780320</v>
      </c>
      <c r="J1131" s="275">
        <v>1780320</v>
      </c>
      <c r="K1131" s="275">
        <v>1838690</v>
      </c>
      <c r="L1131" s="275">
        <v>1825980</v>
      </c>
      <c r="M1131" s="275">
        <v>1825980</v>
      </c>
      <c r="N1131" s="275">
        <v>1782040</v>
      </c>
      <c r="O1131" s="275">
        <v>1782040</v>
      </c>
      <c r="P1131" s="275">
        <v>1233960</v>
      </c>
      <c r="Q1131" s="275">
        <v>1233960</v>
      </c>
      <c r="R1131" s="275">
        <v>1169690</v>
      </c>
      <c r="S1131" s="275">
        <v>1179520</v>
      </c>
      <c r="T1131" s="275">
        <v>1195130</v>
      </c>
      <c r="U1131" s="275">
        <v>1284620</v>
      </c>
      <c r="V1131" s="275">
        <v>1329080</v>
      </c>
      <c r="W1131" s="275">
        <v>1293370</v>
      </c>
      <c r="X1131" s="275">
        <v>1325210</v>
      </c>
      <c r="Y1131" s="275">
        <v>1328520</v>
      </c>
      <c r="Z1131" s="275">
        <f ca="1">[1]ExtEntry!$Q40</f>
        <v>1328520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1403320</v>
      </c>
      <c r="G1132" s="275">
        <v>1501630</v>
      </c>
      <c r="H1132" s="275">
        <v>1440980</v>
      </c>
      <c r="I1132" s="275">
        <v>1440980</v>
      </c>
      <c r="J1132" s="275">
        <v>1440980</v>
      </c>
      <c r="K1132" s="275">
        <v>1447300</v>
      </c>
      <c r="L1132" s="275">
        <v>1491300</v>
      </c>
      <c r="M1132" s="275">
        <v>1491300</v>
      </c>
      <c r="N1132" s="275">
        <v>1389000</v>
      </c>
      <c r="O1132" s="275">
        <v>1389000</v>
      </c>
      <c r="P1132" s="275">
        <v>1221980</v>
      </c>
      <c r="Q1132" s="275">
        <v>1221980</v>
      </c>
      <c r="R1132" s="275">
        <v>1170130</v>
      </c>
      <c r="S1132" s="275">
        <v>1179450</v>
      </c>
      <c r="T1132" s="275">
        <v>1152220</v>
      </c>
      <c r="U1132" s="275">
        <v>1127920</v>
      </c>
      <c r="V1132" s="275">
        <v>1171860</v>
      </c>
      <c r="W1132" s="275">
        <v>1056930</v>
      </c>
      <c r="X1132" s="275">
        <v>1182560</v>
      </c>
      <c r="Y1132" s="275">
        <v>1300360</v>
      </c>
      <c r="Z1132" s="275">
        <f ca="1">[1]ExtEntry!$Q41</f>
        <v>1300360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-392279.04237500008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7654500</v>
      </c>
      <c r="G1133" s="275">
        <v>7244380</v>
      </c>
      <c r="H1133" s="275">
        <v>7232400</v>
      </c>
      <c r="I1133" s="275">
        <v>7232400</v>
      </c>
      <c r="J1133" s="275">
        <v>7232400</v>
      </c>
      <c r="K1133" s="275">
        <v>6941380</v>
      </c>
      <c r="L1133" s="275">
        <v>6647000</v>
      </c>
      <c r="M1133" s="275">
        <v>6647000</v>
      </c>
      <c r="N1133" s="275">
        <v>6676490</v>
      </c>
      <c r="O1133" s="275">
        <v>7524710</v>
      </c>
      <c r="P1133" s="275">
        <v>6689470</v>
      </c>
      <c r="Q1133" s="275">
        <v>6689470</v>
      </c>
      <c r="R1133" s="275">
        <v>6616050</v>
      </c>
      <c r="S1133" s="275">
        <v>6564030</v>
      </c>
      <c r="T1133" s="275">
        <v>6800150</v>
      </c>
      <c r="U1133" s="275">
        <v>6904330</v>
      </c>
      <c r="V1133" s="275">
        <v>6904330</v>
      </c>
      <c r="W1133" s="275">
        <v>6735630</v>
      </c>
      <c r="X1133" s="275">
        <v>5553450</v>
      </c>
      <c r="Y1133" s="275">
        <v>5873050</v>
      </c>
      <c r="Z1133" s="275">
        <f ca="1">[1]ExtEntry!$Q42</f>
        <v>5873050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-136280.77135000005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546521</v>
      </c>
      <c r="G1134" s="275">
        <v>602708</v>
      </c>
      <c r="H1134" s="275">
        <v>624930</v>
      </c>
      <c r="I1134" s="275">
        <v>634206</v>
      </c>
      <c r="J1134" s="275">
        <v>634206</v>
      </c>
      <c r="K1134" s="275">
        <v>842746</v>
      </c>
      <c r="L1134" s="275">
        <v>1026165</v>
      </c>
      <c r="M1134" s="275">
        <v>1055297</v>
      </c>
      <c r="N1134" s="275">
        <v>1011464</v>
      </c>
      <c r="O1134" s="275">
        <v>1035610</v>
      </c>
      <c r="P1134" s="275">
        <v>1060343</v>
      </c>
      <c r="Q1134" s="275">
        <v>1082305</v>
      </c>
      <c r="R1134" s="275">
        <v>1098380</v>
      </c>
      <c r="S1134" s="275">
        <v>1098380</v>
      </c>
      <c r="T1134" s="275">
        <v>1114315</v>
      </c>
      <c r="U1134" s="275">
        <v>1123180</v>
      </c>
      <c r="V1134" s="275">
        <v>1131730</v>
      </c>
      <c r="W1134" s="275">
        <v>1156509</v>
      </c>
      <c r="X1134" s="275">
        <v>1199311</v>
      </c>
      <c r="Y1134" s="275">
        <v>1211385</v>
      </c>
      <c r="Z1134" s="275">
        <f ca="1">[1]ExtEntry!$Q43</f>
        <v>1211385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89631359</v>
      </c>
      <c r="G1135" s="275">
        <v>88456774</v>
      </c>
      <c r="H1135" s="275">
        <v>88260108</v>
      </c>
      <c r="I1135" s="275">
        <v>87416633</v>
      </c>
      <c r="J1135" s="275">
        <v>87416633</v>
      </c>
      <c r="K1135" s="275">
        <v>87352619</v>
      </c>
      <c r="L1135" s="275">
        <v>85823816</v>
      </c>
      <c r="M1135" s="275">
        <v>86259865</v>
      </c>
      <c r="N1135" s="275">
        <v>86231113</v>
      </c>
      <c r="O1135" s="275">
        <v>85149723</v>
      </c>
      <c r="P1135" s="275">
        <v>81587211</v>
      </c>
      <c r="Q1135" s="275">
        <v>78903956</v>
      </c>
      <c r="R1135" s="275">
        <v>76732684</v>
      </c>
      <c r="S1135" s="275">
        <v>76732684</v>
      </c>
      <c r="T1135" s="275">
        <v>75858825</v>
      </c>
      <c r="U1135" s="275">
        <v>76807579</v>
      </c>
      <c r="V1135" s="275">
        <v>76251053</v>
      </c>
      <c r="W1135" s="275">
        <v>75256337</v>
      </c>
      <c r="X1135" s="275">
        <v>75822753</v>
      </c>
      <c r="Y1135" s="275">
        <v>76832050</v>
      </c>
      <c r="Z1135" s="275">
        <f ca="1">[1]ExtEntry!$Q44</f>
        <v>76832050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11792547</v>
      </c>
      <c r="G1136" s="275">
        <v>11709180</v>
      </c>
      <c r="H1136" s="275">
        <v>11682689</v>
      </c>
      <c r="I1136" s="275">
        <v>11532539</v>
      </c>
      <c r="J1136" s="275">
        <v>11532539</v>
      </c>
      <c r="K1136" s="275">
        <v>11545521</v>
      </c>
      <c r="L1136" s="275">
        <v>10592456</v>
      </c>
      <c r="M1136" s="275">
        <v>10419782</v>
      </c>
      <c r="N1136" s="275">
        <v>10334723</v>
      </c>
      <c r="O1136" s="275">
        <v>10319960</v>
      </c>
      <c r="P1136" s="275">
        <v>10295330</v>
      </c>
      <c r="Q1136" s="275">
        <v>10452636</v>
      </c>
      <c r="R1136" s="275">
        <v>10535945</v>
      </c>
      <c r="S1136" s="275">
        <v>10535945</v>
      </c>
      <c r="T1136" s="275">
        <v>10424150</v>
      </c>
      <c r="U1136" s="275">
        <v>10446785</v>
      </c>
      <c r="V1136" s="275">
        <v>10424257</v>
      </c>
      <c r="W1136" s="275">
        <v>10703965</v>
      </c>
      <c r="X1136" s="275">
        <v>10982108</v>
      </c>
      <c r="Y1136" s="275">
        <v>11004019</v>
      </c>
      <c r="Z1136" s="275">
        <f ca="1">[1]ExtEntry!$Q45</f>
        <v>11004019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-657217.07299999997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5690</v>
      </c>
      <c r="G1137" s="275">
        <v>5860</v>
      </c>
      <c r="H1137" s="275">
        <v>5070</v>
      </c>
      <c r="I1137" s="275">
        <v>5070</v>
      </c>
      <c r="J1137" s="275">
        <v>5070</v>
      </c>
      <c r="K1137" s="275">
        <v>5000</v>
      </c>
      <c r="L1137" s="275">
        <v>3580</v>
      </c>
      <c r="M1137" s="275">
        <v>3580</v>
      </c>
      <c r="N1137" s="275">
        <v>3300</v>
      </c>
      <c r="O1137" s="275">
        <v>1630</v>
      </c>
      <c r="P1137" s="275">
        <v>1260</v>
      </c>
      <c r="Q1137" s="275">
        <v>1260</v>
      </c>
      <c r="R1137" s="275">
        <v>1260</v>
      </c>
      <c r="S1137" s="275">
        <v>1310</v>
      </c>
      <c r="T1137" s="275">
        <v>1510</v>
      </c>
      <c r="U1137" s="275">
        <v>1510</v>
      </c>
      <c r="V1137" s="275">
        <v>1510</v>
      </c>
      <c r="W1137" s="275">
        <v>1450</v>
      </c>
      <c r="X1137" s="275">
        <v>1400</v>
      </c>
      <c r="Y1137" s="275">
        <v>1830</v>
      </c>
      <c r="Z1137" s="275">
        <f ca="1">[1]ExtEntry!$Q46</f>
        <v>1830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-104327.21000000002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2291902</v>
      </c>
      <c r="G1138" s="275">
        <v>2322007</v>
      </c>
      <c r="H1138" s="275">
        <v>2375643</v>
      </c>
      <c r="I1138" s="275">
        <v>2387052</v>
      </c>
      <c r="J1138" s="275">
        <v>2387052</v>
      </c>
      <c r="K1138" s="275">
        <v>2409448</v>
      </c>
      <c r="L1138" s="275">
        <v>2495654</v>
      </c>
      <c r="M1138" s="275">
        <v>2554161</v>
      </c>
      <c r="N1138" s="275">
        <v>2859570</v>
      </c>
      <c r="O1138" s="275">
        <v>2898499</v>
      </c>
      <c r="P1138" s="275">
        <v>2918037</v>
      </c>
      <c r="Q1138" s="275">
        <v>2902047</v>
      </c>
      <c r="R1138" s="275">
        <v>2917962</v>
      </c>
      <c r="S1138" s="275">
        <v>2917962</v>
      </c>
      <c r="T1138" s="275">
        <v>3016813</v>
      </c>
      <c r="U1138" s="275">
        <v>3046379</v>
      </c>
      <c r="V1138" s="275">
        <v>3324201</v>
      </c>
      <c r="W1138" s="275">
        <v>3360207</v>
      </c>
      <c r="X1138" s="275">
        <v>3344478</v>
      </c>
      <c r="Y1138" s="275">
        <v>3354385</v>
      </c>
      <c r="Z1138" s="275">
        <f ca="1">[1]ExtEntry!$Q47</f>
        <v>3354385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-96391.867999999988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16751397</v>
      </c>
      <c r="G1139" s="275">
        <v>16664438</v>
      </c>
      <c r="H1139" s="275">
        <v>17005729</v>
      </c>
      <c r="I1139" s="275">
        <v>17117346</v>
      </c>
      <c r="J1139" s="275">
        <v>17117346</v>
      </c>
      <c r="K1139" s="275">
        <v>17206595</v>
      </c>
      <c r="L1139" s="275">
        <v>17509540</v>
      </c>
      <c r="M1139" s="275">
        <v>17405458</v>
      </c>
      <c r="N1139" s="275">
        <v>17770429</v>
      </c>
      <c r="O1139" s="275">
        <v>17501392</v>
      </c>
      <c r="P1139" s="275">
        <v>17601123</v>
      </c>
      <c r="Q1139" s="275">
        <v>17966500</v>
      </c>
      <c r="R1139" s="275">
        <v>18206886</v>
      </c>
      <c r="S1139" s="275">
        <v>18206886</v>
      </c>
      <c r="T1139" s="275">
        <v>18758905</v>
      </c>
      <c r="U1139" s="275">
        <v>20875428</v>
      </c>
      <c r="V1139" s="275">
        <v>21759728</v>
      </c>
      <c r="W1139" s="275">
        <v>22152036</v>
      </c>
      <c r="X1139" s="275">
        <v>23456410</v>
      </c>
      <c r="Y1139" s="275">
        <v>23937964</v>
      </c>
      <c r="Z1139" s="275">
        <f ca="1">[1]ExtEntry!$Q48</f>
        <v>23937964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-32286.889615000026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2183310</v>
      </c>
      <c r="G1140" s="275">
        <v>2211620</v>
      </c>
      <c r="H1140" s="275">
        <v>2169470</v>
      </c>
      <c r="I1140" s="275">
        <v>2169470</v>
      </c>
      <c r="J1140" s="275">
        <v>2169470</v>
      </c>
      <c r="K1140" s="275">
        <v>2181030</v>
      </c>
      <c r="L1140" s="275">
        <v>2245850</v>
      </c>
      <c r="M1140" s="275">
        <v>2245850</v>
      </c>
      <c r="N1140" s="275">
        <v>2181760</v>
      </c>
      <c r="O1140" s="275">
        <v>2269160</v>
      </c>
      <c r="P1140" s="275">
        <v>2362780</v>
      </c>
      <c r="Q1140" s="275">
        <v>2362780</v>
      </c>
      <c r="R1140" s="275">
        <v>2328510</v>
      </c>
      <c r="S1140" s="275">
        <v>2396740</v>
      </c>
      <c r="T1140" s="275">
        <v>2492860</v>
      </c>
      <c r="U1140" s="275">
        <v>2325820</v>
      </c>
      <c r="V1140" s="275">
        <v>2325820</v>
      </c>
      <c r="W1140" s="275">
        <v>2569610</v>
      </c>
      <c r="X1140" s="275">
        <v>2486380</v>
      </c>
      <c r="Y1140" s="275">
        <v>2480420</v>
      </c>
      <c r="Z1140" s="275">
        <f ca="1">[1]ExtEntry!$Q49</f>
        <v>2480420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44600</v>
      </c>
      <c r="G1141" s="275">
        <v>38990</v>
      </c>
      <c r="H1141" s="275">
        <v>31290</v>
      </c>
      <c r="I1141" s="275">
        <v>31290</v>
      </c>
      <c r="J1141" s="275">
        <v>31290</v>
      </c>
      <c r="K1141" s="275">
        <v>27290</v>
      </c>
      <c r="L1141" s="275">
        <v>29960</v>
      </c>
      <c r="M1141" s="275">
        <v>29960</v>
      </c>
      <c r="N1141" s="275">
        <v>30350</v>
      </c>
      <c r="O1141" s="275">
        <v>30350</v>
      </c>
      <c r="P1141" s="275">
        <v>31970</v>
      </c>
      <c r="Q1141" s="275">
        <v>31970</v>
      </c>
      <c r="R1141" s="275">
        <v>31290</v>
      </c>
      <c r="S1141" s="275">
        <v>31380</v>
      </c>
      <c r="T1141" s="275">
        <v>29000</v>
      </c>
      <c r="U1141" s="275">
        <v>26770</v>
      </c>
      <c r="V1141" s="275">
        <v>27510</v>
      </c>
      <c r="W1141" s="275">
        <v>26260</v>
      </c>
      <c r="X1141" s="275">
        <v>26970</v>
      </c>
      <c r="Y1141" s="275">
        <v>27080</v>
      </c>
      <c r="Z1141" s="275">
        <f ca="1">[1]ExtEntry!$Q50</f>
        <v>27080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8915641</v>
      </c>
      <c r="G1142" s="275">
        <v>9120867</v>
      </c>
      <c r="H1142" s="275">
        <v>9205818</v>
      </c>
      <c r="I1142" s="275">
        <v>9321506</v>
      </c>
      <c r="J1142" s="275">
        <v>9321506</v>
      </c>
      <c r="K1142" s="275">
        <v>9387572</v>
      </c>
      <c r="L1142" s="275">
        <v>9094783</v>
      </c>
      <c r="M1142" s="275">
        <v>9046115</v>
      </c>
      <c r="N1142" s="275">
        <v>8929021</v>
      </c>
      <c r="O1142" s="275">
        <v>9026509</v>
      </c>
      <c r="P1142" s="275">
        <v>9051219</v>
      </c>
      <c r="Q1142" s="275">
        <v>9194718</v>
      </c>
      <c r="R1142" s="275">
        <v>9244572</v>
      </c>
      <c r="S1142" s="275">
        <v>9244572</v>
      </c>
      <c r="T1142" s="275">
        <v>9275737</v>
      </c>
      <c r="U1142" s="275">
        <v>9144667</v>
      </c>
      <c r="V1142" s="275">
        <v>9227781</v>
      </c>
      <c r="W1142" s="275">
        <v>9209460</v>
      </c>
      <c r="X1142" s="275">
        <v>9223123</v>
      </c>
      <c r="Y1142" s="275">
        <v>9656489</v>
      </c>
      <c r="Z1142" s="275">
        <f ca="1">[1]ExtEntry!$Q51</f>
        <v>9656489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0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6167566</v>
      </c>
      <c r="G1143" s="275">
        <v>6538271</v>
      </c>
      <c r="H1143" s="275">
        <v>6726610</v>
      </c>
      <c r="I1143" s="275">
        <v>6657890</v>
      </c>
      <c r="J1143" s="275">
        <v>6657890</v>
      </c>
      <c r="K1143" s="275">
        <v>6911480</v>
      </c>
      <c r="L1143" s="275">
        <v>7694427</v>
      </c>
      <c r="M1143" s="275">
        <v>8861791</v>
      </c>
      <c r="N1143" s="275">
        <v>12284749</v>
      </c>
      <c r="O1143" s="275">
        <v>30166826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-20501.305175000009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15363288</v>
      </c>
      <c r="G1144" s="275">
        <v>15314472</v>
      </c>
      <c r="H1144" s="275">
        <v>15617991</v>
      </c>
      <c r="I1144" s="275">
        <v>15610780</v>
      </c>
      <c r="J1144" s="275">
        <v>15610780</v>
      </c>
      <c r="K1144" s="275">
        <v>15816950</v>
      </c>
      <c r="L1144" s="275">
        <v>15339526</v>
      </c>
      <c r="M1144" s="275">
        <v>15048905</v>
      </c>
      <c r="N1144" s="275">
        <v>15215825</v>
      </c>
      <c r="O1144" s="275">
        <v>15346223</v>
      </c>
      <c r="P1144" s="275">
        <v>15287928</v>
      </c>
      <c r="Q1144" s="275">
        <v>15449885</v>
      </c>
      <c r="R1144" s="275">
        <v>15564033</v>
      </c>
      <c r="S1144" s="275">
        <v>15564033</v>
      </c>
      <c r="T1144" s="275">
        <v>15518418</v>
      </c>
      <c r="U1144" s="275">
        <v>15502136</v>
      </c>
      <c r="V1144" s="275">
        <v>15333675</v>
      </c>
      <c r="W1144" s="275">
        <v>15164476</v>
      </c>
      <c r="X1144" s="275">
        <v>14945409</v>
      </c>
      <c r="Y1144" s="275">
        <v>14793917</v>
      </c>
      <c r="Z1144" s="275">
        <f ca="1">[1]ExtEntry!$Q53</f>
        <v>14793917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471733</v>
      </c>
      <c r="G1145" s="275">
        <v>479111</v>
      </c>
      <c r="H1145" s="275">
        <v>495394</v>
      </c>
      <c r="I1145" s="275">
        <v>503508</v>
      </c>
      <c r="J1145" s="275">
        <v>503508</v>
      </c>
      <c r="K1145" s="275">
        <v>515923</v>
      </c>
      <c r="L1145" s="275">
        <v>540533</v>
      </c>
      <c r="M1145" s="275">
        <v>559502</v>
      </c>
      <c r="N1145" s="275">
        <v>576679</v>
      </c>
      <c r="O1145" s="275">
        <v>584981</v>
      </c>
      <c r="P1145" s="275">
        <v>595294</v>
      </c>
      <c r="Q1145" s="275">
        <v>609326</v>
      </c>
      <c r="R1145" s="275">
        <v>617407</v>
      </c>
      <c r="S1145" s="275">
        <v>617407</v>
      </c>
      <c r="T1145" s="275">
        <v>566838</v>
      </c>
      <c r="U1145" s="275">
        <v>552111</v>
      </c>
      <c r="V1145" s="275">
        <v>534950</v>
      </c>
      <c r="W1145" s="275">
        <v>526627</v>
      </c>
      <c r="X1145" s="275">
        <v>524738</v>
      </c>
      <c r="Y1145" s="275">
        <v>513698</v>
      </c>
      <c r="Z1145" s="275">
        <f ca="1">[1]ExtEntry!$Q54</f>
        <v>513698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-33685.984424999995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3450</v>
      </c>
      <c r="G1146" s="275">
        <v>3450</v>
      </c>
      <c r="H1146" s="275">
        <v>3160</v>
      </c>
      <c r="I1146" s="275">
        <v>3160</v>
      </c>
      <c r="J1146" s="275">
        <v>3160</v>
      </c>
      <c r="K1146" s="275">
        <v>3270</v>
      </c>
      <c r="L1146" s="275">
        <v>3210</v>
      </c>
      <c r="M1146" s="275">
        <v>3210</v>
      </c>
      <c r="N1146" s="275">
        <v>3270</v>
      </c>
      <c r="O1146" s="275">
        <v>3270</v>
      </c>
      <c r="P1146" s="275">
        <v>3570</v>
      </c>
      <c r="Q1146" s="275">
        <v>3570</v>
      </c>
      <c r="R1146" s="275">
        <v>4170</v>
      </c>
      <c r="S1146" s="275">
        <v>3670</v>
      </c>
      <c r="T1146" s="275">
        <v>4030</v>
      </c>
      <c r="U1146" s="275">
        <v>4060</v>
      </c>
      <c r="V1146" s="275">
        <v>3980</v>
      </c>
      <c r="W1146" s="275">
        <v>4110</v>
      </c>
      <c r="X1146" s="275">
        <v>4110</v>
      </c>
      <c r="Y1146" s="275">
        <v>5220</v>
      </c>
      <c r="Z1146" s="275">
        <f ca="1">[1]ExtEntry!$Q55</f>
        <v>5220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-175083.06139900006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3791240</v>
      </c>
      <c r="G1147" s="275">
        <v>3878664</v>
      </c>
      <c r="H1147" s="275">
        <v>3963864</v>
      </c>
      <c r="I1147" s="275">
        <v>4080230</v>
      </c>
      <c r="J1147" s="275">
        <v>4080230</v>
      </c>
      <c r="K1147" s="275">
        <v>4147614</v>
      </c>
      <c r="L1147" s="275">
        <v>4140943</v>
      </c>
      <c r="M1147" s="275">
        <v>4047063</v>
      </c>
      <c r="N1147" s="275">
        <v>4023866</v>
      </c>
      <c r="O1147" s="275">
        <v>4567468</v>
      </c>
      <c r="P1147" s="275">
        <v>4437164</v>
      </c>
      <c r="Q1147" s="275">
        <v>4460381</v>
      </c>
      <c r="R1147" s="275">
        <v>4480613</v>
      </c>
      <c r="S1147" s="275">
        <v>4480613</v>
      </c>
      <c r="T1147" s="275">
        <v>4638924</v>
      </c>
      <c r="U1147" s="275">
        <v>4649994</v>
      </c>
      <c r="V1147" s="275">
        <v>4655907</v>
      </c>
      <c r="W1147" s="275">
        <v>4657615</v>
      </c>
      <c r="X1147" s="275">
        <v>4653734</v>
      </c>
      <c r="Y1147" s="275">
        <v>4691479</v>
      </c>
      <c r="Z1147" s="275">
        <f ca="1">[1]ExtEntry!$Q56</f>
        <v>4691479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1418590</v>
      </c>
      <c r="G1148" s="275">
        <v>1436230</v>
      </c>
      <c r="H1148" s="275">
        <v>1349020</v>
      </c>
      <c r="I1148" s="275">
        <v>1349020</v>
      </c>
      <c r="J1148" s="275">
        <v>1349020</v>
      </c>
      <c r="K1148" s="275">
        <v>1330290</v>
      </c>
      <c r="L1148" s="275">
        <v>1215990</v>
      </c>
      <c r="M1148" s="275">
        <v>1230690</v>
      </c>
      <c r="N1148" s="275">
        <v>1391220</v>
      </c>
      <c r="O1148" s="275">
        <v>1391220</v>
      </c>
      <c r="P1148" s="275">
        <v>1528900</v>
      </c>
      <c r="Q1148" s="275">
        <v>1528900</v>
      </c>
      <c r="R1148" s="275">
        <v>1522740</v>
      </c>
      <c r="S1148" s="275">
        <v>1573480</v>
      </c>
      <c r="T1148" s="275">
        <v>1588100</v>
      </c>
      <c r="U1148" s="275">
        <v>1799050</v>
      </c>
      <c r="V1148" s="275">
        <v>1832370</v>
      </c>
      <c r="W1148" s="275">
        <v>1785550</v>
      </c>
      <c r="X1148" s="275">
        <v>1785550</v>
      </c>
      <c r="Y1148" s="275">
        <v>1768220</v>
      </c>
      <c r="Z1148" s="275">
        <f ca="1">[1]ExtEntry!$Q57</f>
        <v>1768220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-311327.39600000001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3687660</v>
      </c>
      <c r="G1149" s="275">
        <v>3907630</v>
      </c>
      <c r="H1149" s="275">
        <v>3780100</v>
      </c>
      <c r="I1149" s="275">
        <v>3780100</v>
      </c>
      <c r="J1149" s="275">
        <v>3780100</v>
      </c>
      <c r="K1149" s="275">
        <v>3601080</v>
      </c>
      <c r="L1149" s="275">
        <v>3796190</v>
      </c>
      <c r="M1149" s="275">
        <v>3796190</v>
      </c>
      <c r="N1149" s="275">
        <v>3854780</v>
      </c>
      <c r="O1149" s="275">
        <v>3854780</v>
      </c>
      <c r="P1149" s="275">
        <v>3755740</v>
      </c>
      <c r="Q1149" s="275">
        <v>3755740</v>
      </c>
      <c r="R1149" s="275">
        <v>3738460</v>
      </c>
      <c r="S1149" s="275">
        <v>3846200</v>
      </c>
      <c r="T1149" s="275">
        <v>3759440</v>
      </c>
      <c r="U1149" s="275">
        <v>4158470</v>
      </c>
      <c r="V1149" s="275">
        <v>4405700</v>
      </c>
      <c r="W1149" s="275">
        <v>4179220</v>
      </c>
      <c r="X1149" s="275">
        <v>4102740</v>
      </c>
      <c r="Y1149" s="275">
        <v>3992280</v>
      </c>
      <c r="Z1149" s="275">
        <f ca="1">[1]ExtEntry!$Q58</f>
        <v>3992280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9930490</v>
      </c>
      <c r="G1150" s="275">
        <v>9257390</v>
      </c>
      <c r="H1150" s="275">
        <v>8684740</v>
      </c>
      <c r="I1150" s="275">
        <v>8684740</v>
      </c>
      <c r="J1150" s="275">
        <v>8684740</v>
      </c>
      <c r="K1150" s="275">
        <v>8429310</v>
      </c>
      <c r="L1150" s="275">
        <v>8050440</v>
      </c>
      <c r="M1150" s="275">
        <v>8050440</v>
      </c>
      <c r="N1150" s="275">
        <v>9340510</v>
      </c>
      <c r="O1150" s="275">
        <v>9340510</v>
      </c>
      <c r="P1150" s="275">
        <v>9478030</v>
      </c>
      <c r="Q1150" s="275">
        <v>9478030</v>
      </c>
      <c r="R1150" s="275">
        <v>9491950</v>
      </c>
      <c r="S1150" s="275">
        <v>9958420</v>
      </c>
      <c r="T1150" s="275">
        <v>10556960</v>
      </c>
      <c r="U1150" s="275">
        <v>10934450</v>
      </c>
      <c r="V1150" s="275">
        <v>11061910</v>
      </c>
      <c r="W1150" s="275">
        <v>10101260</v>
      </c>
      <c r="X1150" s="275">
        <v>10101260</v>
      </c>
      <c r="Y1150" s="275">
        <v>10162250</v>
      </c>
      <c r="Z1150" s="275">
        <f ca="1">[1]ExtEntry!$Q59</f>
        <v>10162250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-403033.40700000006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511346</v>
      </c>
      <c r="G1151" s="275">
        <v>536282</v>
      </c>
      <c r="H1151" s="275">
        <v>542228</v>
      </c>
      <c r="I1151" s="275">
        <v>427705</v>
      </c>
      <c r="J1151" s="275">
        <v>427705</v>
      </c>
      <c r="K1151" s="275">
        <v>404068</v>
      </c>
      <c r="L1151" s="275">
        <v>422185</v>
      </c>
      <c r="M1151" s="275">
        <v>7549720</v>
      </c>
      <c r="N1151" s="275">
        <v>11886954</v>
      </c>
      <c r="O1151" s="275">
        <v>12542897</v>
      </c>
      <c r="P1151" s="275">
        <v>12952859</v>
      </c>
      <c r="Q1151" s="275">
        <v>13342256</v>
      </c>
      <c r="R1151" s="275">
        <v>13591752</v>
      </c>
      <c r="S1151" s="275">
        <v>13591752</v>
      </c>
      <c r="T1151" s="275">
        <v>13842832</v>
      </c>
      <c r="U1151" s="275">
        <v>13911904</v>
      </c>
      <c r="V1151" s="275">
        <v>14003762</v>
      </c>
      <c r="W1151" s="275">
        <v>14102041</v>
      </c>
      <c r="X1151" s="275">
        <v>14502497</v>
      </c>
      <c r="Y1151" s="275">
        <v>14556431</v>
      </c>
      <c r="Z1151" s="275">
        <f ca="1">[1]ExtEntry!$Q60</f>
        <v>14556431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-17165.349999999999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2129020</v>
      </c>
      <c r="G1152" s="275">
        <v>2138970</v>
      </c>
      <c r="H1152" s="275">
        <v>1697840</v>
      </c>
      <c r="I1152" s="275">
        <v>1697840</v>
      </c>
      <c r="J1152" s="275">
        <v>1697840</v>
      </c>
      <c r="K1152" s="275">
        <v>1663760</v>
      </c>
      <c r="L1152" s="275">
        <v>1476200</v>
      </c>
      <c r="M1152" s="275">
        <v>1476200</v>
      </c>
      <c r="N1152" s="275">
        <v>2257930</v>
      </c>
      <c r="O1152" s="275">
        <v>2257930</v>
      </c>
      <c r="P1152" s="275">
        <v>2662730</v>
      </c>
      <c r="Q1152" s="275">
        <v>2662730</v>
      </c>
      <c r="R1152" s="275">
        <v>2716380</v>
      </c>
      <c r="S1152" s="275">
        <v>2903390</v>
      </c>
      <c r="T1152" s="275">
        <v>3003100</v>
      </c>
      <c r="U1152" s="275">
        <v>3182130</v>
      </c>
      <c r="V1152" s="275">
        <v>3182130</v>
      </c>
      <c r="W1152" s="275">
        <v>2575910</v>
      </c>
      <c r="X1152" s="275">
        <v>2434900</v>
      </c>
      <c r="Y1152" s="275">
        <v>2413200</v>
      </c>
      <c r="Z1152" s="275">
        <f ca="1">[1]ExtEntry!$Q61</f>
        <v>2413200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5005910</v>
      </c>
      <c r="G1153" s="275">
        <v>5182480</v>
      </c>
      <c r="H1153" s="275">
        <v>4613450</v>
      </c>
      <c r="I1153" s="275">
        <v>4613450</v>
      </c>
      <c r="J1153" s="275">
        <v>4613450</v>
      </c>
      <c r="K1153" s="275">
        <v>4410890</v>
      </c>
      <c r="L1153" s="275">
        <v>4177700</v>
      </c>
      <c r="M1153" s="275">
        <v>4177700</v>
      </c>
      <c r="N1153" s="275">
        <v>5195680</v>
      </c>
      <c r="O1153" s="275">
        <v>5195680</v>
      </c>
      <c r="P1153" s="275">
        <v>5258640</v>
      </c>
      <c r="Q1153" s="275">
        <v>5258640</v>
      </c>
      <c r="R1153" s="275">
        <v>5162760</v>
      </c>
      <c r="S1153" s="275">
        <v>5146010</v>
      </c>
      <c r="T1153" s="275">
        <v>5508670</v>
      </c>
      <c r="U1153" s="275">
        <v>5804800</v>
      </c>
      <c r="V1153" s="275">
        <v>5804800</v>
      </c>
      <c r="W1153" s="275">
        <v>4580850</v>
      </c>
      <c r="X1153" s="275">
        <v>4331880</v>
      </c>
      <c r="Y1153" s="275">
        <v>4277840</v>
      </c>
      <c r="Z1153" s="275">
        <f ca="1">[1]ExtEntry!$Q62</f>
        <v>4277840</v>
      </c>
      <c r="AB1153" s="341">
        <v>-100953.75</v>
      </c>
      <c r="AC1153" s="341">
        <v>-144003.75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-116143.75</v>
      </c>
      <c r="AO1153" s="341">
        <v>-116143.75</v>
      </c>
      <c r="AP1153" s="341">
        <v>-116143.75</v>
      </c>
      <c r="AQ1153" s="341">
        <v>-115946.94200000001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1350680</v>
      </c>
      <c r="G1154" s="275">
        <v>1333580</v>
      </c>
      <c r="H1154" s="275">
        <v>1780320</v>
      </c>
      <c r="I1154" s="275">
        <v>1780320</v>
      </c>
      <c r="J1154" s="275">
        <v>1780320</v>
      </c>
      <c r="K1154" s="275">
        <v>1838690</v>
      </c>
      <c r="L1154" s="275">
        <v>1825980</v>
      </c>
      <c r="M1154" s="275">
        <v>1825980</v>
      </c>
      <c r="N1154" s="275">
        <v>1782040</v>
      </c>
      <c r="O1154" s="275">
        <v>1782040</v>
      </c>
      <c r="P1154" s="275">
        <v>1233960</v>
      </c>
      <c r="Q1154" s="275">
        <v>1233960</v>
      </c>
      <c r="R1154" s="275">
        <v>1169690</v>
      </c>
      <c r="S1154" s="275">
        <v>1179520</v>
      </c>
      <c r="T1154" s="275">
        <v>1195130</v>
      </c>
      <c r="U1154" s="275">
        <v>1284620</v>
      </c>
      <c r="V1154" s="275">
        <v>1329080</v>
      </c>
      <c r="W1154" s="275">
        <v>1293370</v>
      </c>
      <c r="X1154" s="275">
        <v>1325210</v>
      </c>
      <c r="Y1154" s="275">
        <v>1328520</v>
      </c>
      <c r="Z1154" s="275">
        <f ca="1">[1]ExtEntry!$Q63</f>
        <v>1328520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1403320</v>
      </c>
      <c r="G1155" s="275">
        <v>1501630</v>
      </c>
      <c r="H1155" s="275">
        <v>1440980</v>
      </c>
      <c r="I1155" s="275">
        <v>1440980</v>
      </c>
      <c r="J1155" s="275">
        <v>1440980</v>
      </c>
      <c r="K1155" s="275">
        <v>1447300</v>
      </c>
      <c r="L1155" s="275">
        <v>1491300</v>
      </c>
      <c r="M1155" s="275">
        <v>1491300</v>
      </c>
      <c r="N1155" s="275">
        <v>1389000</v>
      </c>
      <c r="O1155" s="275">
        <v>1389000</v>
      </c>
      <c r="P1155" s="275">
        <v>1221980</v>
      </c>
      <c r="Q1155" s="275">
        <v>1221980</v>
      </c>
      <c r="R1155" s="275">
        <v>1170130</v>
      </c>
      <c r="S1155" s="275">
        <v>1179450</v>
      </c>
      <c r="T1155" s="275">
        <v>1152220</v>
      </c>
      <c r="U1155" s="275">
        <v>1127920</v>
      </c>
      <c r="V1155" s="275">
        <v>1171860</v>
      </c>
      <c r="W1155" s="275">
        <v>1056930</v>
      </c>
      <c r="X1155" s="275">
        <v>1182560</v>
      </c>
      <c r="Y1155" s="275">
        <v>1300360</v>
      </c>
      <c r="Z1155" s="275">
        <f ca="1">[1]ExtEntry!$Q64</f>
        <v>1300360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5690</v>
      </c>
      <c r="G1156" s="275">
        <v>5860</v>
      </c>
      <c r="H1156" s="275">
        <v>5070</v>
      </c>
      <c r="I1156" s="275">
        <v>5070</v>
      </c>
      <c r="J1156" s="275">
        <v>5070</v>
      </c>
      <c r="K1156" s="275">
        <v>5000</v>
      </c>
      <c r="L1156" s="275">
        <v>3580</v>
      </c>
      <c r="M1156" s="275">
        <v>3580</v>
      </c>
      <c r="N1156" s="275">
        <v>3300</v>
      </c>
      <c r="O1156" s="275">
        <v>1630</v>
      </c>
      <c r="P1156" s="275">
        <v>1260</v>
      </c>
      <c r="Q1156" s="275">
        <v>1260</v>
      </c>
      <c r="R1156" s="275">
        <v>1260</v>
      </c>
      <c r="S1156" s="275">
        <v>1310</v>
      </c>
      <c r="T1156" s="275">
        <v>1510</v>
      </c>
      <c r="U1156" s="275">
        <v>1510</v>
      </c>
      <c r="V1156" s="275">
        <v>1510</v>
      </c>
      <c r="W1156" s="275">
        <v>1450</v>
      </c>
      <c r="X1156" s="275">
        <v>1400</v>
      </c>
      <c r="Y1156" s="275">
        <v>1830</v>
      </c>
      <c r="Z1156" s="275">
        <f ca="1">[1]ExtEntry!$Q65</f>
        <v>1830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-13367.311446250002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59201591</v>
      </c>
      <c r="G1157" s="275">
        <v>59500497</v>
      </c>
      <c r="H1157" s="275">
        <v>60151411</v>
      </c>
      <c r="I1157" s="275">
        <v>60096854</v>
      </c>
      <c r="J1157" s="275">
        <v>60096854</v>
      </c>
      <c r="K1157" s="275">
        <v>59981103</v>
      </c>
      <c r="L1157" s="275">
        <v>58814289</v>
      </c>
      <c r="M1157" s="275">
        <v>57998517</v>
      </c>
      <c r="N1157" s="275">
        <v>58325359</v>
      </c>
      <c r="O1157" s="275">
        <v>57696167</v>
      </c>
      <c r="P1157" s="275">
        <v>57378250</v>
      </c>
      <c r="Q1157" s="275">
        <v>57344237</v>
      </c>
      <c r="R1157" s="275">
        <v>57592942</v>
      </c>
      <c r="S1157" s="275">
        <v>57592942</v>
      </c>
      <c r="T1157" s="275">
        <v>58275063</v>
      </c>
      <c r="U1157" s="275">
        <v>57241941</v>
      </c>
      <c r="V1157" s="275">
        <v>55024542</v>
      </c>
      <c r="W1157" s="275">
        <v>54672727</v>
      </c>
      <c r="X1157" s="275">
        <v>56244156</v>
      </c>
      <c r="Y1157" s="275">
        <v>53913175</v>
      </c>
      <c r="Z1157" s="275">
        <f ca="1">[1]ExtEntry!$Q66</f>
        <v>53913175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-40998.501000000011</v>
      </c>
      <c r="AR1157" s="341">
        <v>-40998.501000000011</v>
      </c>
      <c r="AS1157" s="341">
        <v>-40998.501000000011</v>
      </c>
      <c r="AT1157" s="341">
        <v>0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44849683</v>
      </c>
      <c r="G1158" s="275">
        <v>46096693</v>
      </c>
      <c r="H1158" s="275">
        <v>45661930</v>
      </c>
      <c r="I1158" s="275">
        <v>45243782</v>
      </c>
      <c r="J1158" s="275">
        <v>45243782</v>
      </c>
      <c r="K1158" s="275">
        <v>45043131</v>
      </c>
      <c r="L1158" s="275">
        <v>44916513</v>
      </c>
      <c r="M1158" s="275">
        <v>44209958</v>
      </c>
      <c r="N1158" s="275">
        <v>43754825</v>
      </c>
      <c r="O1158" s="275">
        <v>43473210</v>
      </c>
      <c r="P1158" s="275">
        <v>43104303</v>
      </c>
      <c r="Q1158" s="275">
        <v>43003786</v>
      </c>
      <c r="R1158" s="275">
        <v>43505536</v>
      </c>
      <c r="S1158" s="275">
        <v>43505536</v>
      </c>
      <c r="T1158" s="275">
        <v>44381753</v>
      </c>
      <c r="U1158" s="275">
        <v>41676334</v>
      </c>
      <c r="V1158" s="275">
        <v>38143866</v>
      </c>
      <c r="W1158" s="275">
        <v>36109612</v>
      </c>
      <c r="X1158" s="275">
        <v>36485715</v>
      </c>
      <c r="Y1158" s="275">
        <v>35792217</v>
      </c>
      <c r="Z1158" s="275">
        <f ca="1">[1]ExtEntry!$Q67</f>
        <v>35792217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557990</v>
      </c>
      <c r="G1159" s="275">
        <v>564170</v>
      </c>
      <c r="H1159" s="275">
        <v>477170</v>
      </c>
      <c r="I1159" s="275">
        <v>477170</v>
      </c>
      <c r="J1159" s="275">
        <v>477170</v>
      </c>
      <c r="K1159" s="275">
        <v>459410</v>
      </c>
      <c r="L1159" s="275">
        <v>408950</v>
      </c>
      <c r="M1159" s="275">
        <v>408950</v>
      </c>
      <c r="N1159" s="275">
        <v>425980</v>
      </c>
      <c r="O1159" s="275">
        <v>425980</v>
      </c>
      <c r="P1159" s="275">
        <v>446460</v>
      </c>
      <c r="Q1159" s="275">
        <v>446460</v>
      </c>
      <c r="R1159" s="275">
        <v>443910</v>
      </c>
      <c r="S1159" s="275">
        <v>470620</v>
      </c>
      <c r="T1159" s="275">
        <v>475690</v>
      </c>
      <c r="U1159" s="275">
        <v>551270</v>
      </c>
      <c r="V1159" s="275">
        <v>551270</v>
      </c>
      <c r="W1159" s="275">
        <v>555880</v>
      </c>
      <c r="X1159" s="275">
        <v>555880</v>
      </c>
      <c r="Y1159" s="275">
        <v>556550</v>
      </c>
      <c r="Z1159" s="275">
        <f ca="1">[1]ExtEntry!$Q68</f>
        <v>556550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3791240</v>
      </c>
      <c r="G1160" s="275">
        <v>3878664</v>
      </c>
      <c r="H1160" s="275">
        <v>3963864</v>
      </c>
      <c r="I1160" s="275">
        <v>4080230</v>
      </c>
      <c r="J1160" s="275">
        <v>4080230</v>
      </c>
      <c r="K1160" s="275">
        <v>4147614</v>
      </c>
      <c r="L1160" s="275">
        <v>4140943</v>
      </c>
      <c r="M1160" s="275">
        <v>4047063</v>
      </c>
      <c r="N1160" s="275">
        <v>4023866</v>
      </c>
      <c r="O1160" s="275">
        <v>4567468</v>
      </c>
      <c r="P1160" s="275">
        <v>4437164</v>
      </c>
      <c r="Q1160" s="275">
        <v>4460381</v>
      </c>
      <c r="R1160" s="275">
        <v>4480613</v>
      </c>
      <c r="S1160" s="275">
        <v>4480613</v>
      </c>
      <c r="T1160" s="275">
        <v>4638924</v>
      </c>
      <c r="U1160" s="275">
        <v>4649994</v>
      </c>
      <c r="V1160" s="275">
        <v>4655907</v>
      </c>
      <c r="W1160" s="275">
        <v>4657615</v>
      </c>
      <c r="X1160" s="275">
        <v>4653734</v>
      </c>
      <c r="Y1160" s="275">
        <v>4691479</v>
      </c>
      <c r="Z1160" s="275">
        <f ca="1">[1]ExtEntry!$Q69</f>
        <v>4691479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-374563.99874999997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8649969</v>
      </c>
      <c r="G1161" s="275">
        <v>8646266</v>
      </c>
      <c r="H1161" s="275">
        <v>8672513</v>
      </c>
      <c r="I1161" s="275">
        <v>8630317</v>
      </c>
      <c r="J1161" s="275">
        <v>8630317</v>
      </c>
      <c r="K1161" s="275">
        <v>8549129</v>
      </c>
      <c r="L1161" s="275">
        <v>8324228</v>
      </c>
      <c r="M1161" s="275">
        <v>8285526</v>
      </c>
      <c r="N1161" s="275">
        <v>8292443</v>
      </c>
      <c r="O1161" s="275">
        <v>8137205</v>
      </c>
      <c r="P1161" s="275">
        <v>8096623</v>
      </c>
      <c r="Q1161" s="275">
        <v>8078864</v>
      </c>
      <c r="R1161" s="275">
        <v>8077813</v>
      </c>
      <c r="S1161" s="275">
        <v>8077813</v>
      </c>
      <c r="T1161" s="275">
        <v>8144722</v>
      </c>
      <c r="U1161" s="275">
        <v>8122087</v>
      </c>
      <c r="V1161" s="275">
        <v>8034602</v>
      </c>
      <c r="W1161" s="275">
        <v>7898570</v>
      </c>
      <c r="X1161" s="275">
        <v>7583338</v>
      </c>
      <c r="Y1161" s="275">
        <v>7033153</v>
      </c>
      <c r="Z1161" s="275">
        <f ca="1">[1]ExtEntry!$Q70</f>
        <v>7033153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9482420</v>
      </c>
      <c r="G1162" s="275">
        <v>9492227</v>
      </c>
      <c r="H1162" s="275">
        <v>9408188</v>
      </c>
      <c r="I1162" s="275">
        <v>9400462</v>
      </c>
      <c r="J1162" s="275">
        <v>9400462</v>
      </c>
      <c r="K1162" s="275">
        <v>9331870</v>
      </c>
      <c r="L1162" s="275">
        <v>9340010</v>
      </c>
      <c r="M1162" s="275">
        <v>8969867</v>
      </c>
      <c r="N1162" s="275">
        <v>7910614</v>
      </c>
      <c r="O1162" s="275">
        <v>7278257</v>
      </c>
      <c r="P1162" s="275">
        <v>7157846</v>
      </c>
      <c r="Q1162" s="275">
        <v>7097094</v>
      </c>
      <c r="R1162" s="275">
        <v>7045968</v>
      </c>
      <c r="S1162" s="275">
        <v>7045968</v>
      </c>
      <c r="T1162" s="275">
        <v>6899790</v>
      </c>
      <c r="U1162" s="275">
        <v>6616708</v>
      </c>
      <c r="V1162" s="275">
        <v>6491075</v>
      </c>
      <c r="W1162" s="275">
        <v>6379030</v>
      </c>
      <c r="X1162" s="275">
        <v>6390804</v>
      </c>
      <c r="Y1162" s="275">
        <v>6407525</v>
      </c>
      <c r="Z1162" s="275">
        <f ca="1">[1]ExtEntry!$Q71</f>
        <v>6407525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16758170</v>
      </c>
      <c r="G1163" s="275">
        <v>17292440</v>
      </c>
      <c r="H1163" s="275">
        <v>14883920</v>
      </c>
      <c r="I1163" s="275">
        <v>14883920</v>
      </c>
      <c r="J1163" s="275">
        <v>14883920</v>
      </c>
      <c r="K1163" s="275">
        <v>14254430</v>
      </c>
      <c r="L1163" s="275">
        <v>13167380</v>
      </c>
      <c r="M1163" s="275">
        <v>13167380</v>
      </c>
      <c r="N1163" s="275">
        <v>10768040</v>
      </c>
      <c r="O1163" s="275">
        <v>10768040</v>
      </c>
      <c r="P1163" s="275">
        <v>9140910</v>
      </c>
      <c r="Q1163" s="275">
        <v>9140910</v>
      </c>
      <c r="R1163" s="275">
        <v>9299940</v>
      </c>
      <c r="S1163" s="275">
        <v>9808690</v>
      </c>
      <c r="T1163" s="275">
        <v>10562780</v>
      </c>
      <c r="U1163" s="275">
        <v>11107170</v>
      </c>
      <c r="V1163" s="275">
        <v>12018270</v>
      </c>
      <c r="W1163" s="275">
        <v>12104800</v>
      </c>
      <c r="X1163" s="275">
        <v>13300020</v>
      </c>
      <c r="Y1163" s="275">
        <v>14227630</v>
      </c>
      <c r="Z1163" s="275">
        <f ca="1">[1]ExtEntry!$Q72</f>
        <v>14227630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8479361</v>
      </c>
      <c r="G1164" s="275">
        <v>8243598</v>
      </c>
      <c r="H1164" s="275">
        <v>8342137</v>
      </c>
      <c r="I1164" s="275">
        <v>8297805</v>
      </c>
      <c r="J1164" s="275">
        <v>8297805</v>
      </c>
      <c r="K1164" s="275">
        <v>8173797</v>
      </c>
      <c r="L1164" s="275">
        <v>8249768</v>
      </c>
      <c r="M1164" s="275">
        <v>8545371</v>
      </c>
      <c r="N1164" s="275">
        <v>8736099</v>
      </c>
      <c r="O1164" s="275">
        <v>8982953</v>
      </c>
      <c r="P1164" s="275">
        <v>9142754</v>
      </c>
      <c r="Q1164" s="275">
        <v>9259428</v>
      </c>
      <c r="R1164" s="275">
        <v>9604988</v>
      </c>
      <c r="S1164" s="275">
        <v>9604988</v>
      </c>
      <c r="T1164" s="275">
        <v>9768259</v>
      </c>
      <c r="U1164" s="275">
        <v>9710608</v>
      </c>
      <c r="V1164" s="275">
        <v>9583339</v>
      </c>
      <c r="W1164" s="275">
        <v>9650892</v>
      </c>
      <c r="X1164" s="275">
        <v>9733685</v>
      </c>
      <c r="Y1164" s="275">
        <v>9797621</v>
      </c>
      <c r="Z1164" s="275">
        <f ca="1">[1]ExtEntry!$Q73</f>
        <v>9797621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-235084.05849999998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2535540</v>
      </c>
      <c r="G1165" s="275">
        <v>2430960</v>
      </c>
      <c r="H1165" s="275">
        <v>2418218</v>
      </c>
      <c r="I1165" s="275">
        <v>2616851</v>
      </c>
      <c r="J1165" s="275">
        <v>2616851</v>
      </c>
      <c r="K1165" s="275">
        <v>2729799</v>
      </c>
      <c r="L1165" s="275">
        <v>2699005</v>
      </c>
      <c r="M1165" s="275">
        <v>2569203</v>
      </c>
      <c r="N1165" s="275">
        <v>2430917</v>
      </c>
      <c r="O1165" s="275">
        <v>2352270</v>
      </c>
      <c r="P1165" s="275">
        <v>2678085</v>
      </c>
      <c r="Q1165" s="275">
        <v>2819682</v>
      </c>
      <c r="R1165" s="275">
        <v>2834035</v>
      </c>
      <c r="S1165" s="275">
        <v>2834035</v>
      </c>
      <c r="T1165" s="275">
        <v>2803617</v>
      </c>
      <c r="U1165" s="275">
        <v>2810407</v>
      </c>
      <c r="V1165" s="275">
        <v>2866924</v>
      </c>
      <c r="W1165" s="275">
        <v>2921504</v>
      </c>
      <c r="X1165" s="275">
        <v>3013073</v>
      </c>
      <c r="Y1165" s="275">
        <v>3147242</v>
      </c>
      <c r="Z1165" s="275">
        <f ca="1">[1]ExtEntry!$Q74</f>
        <v>3147242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-297542.89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9930490</v>
      </c>
      <c r="G1166" s="275">
        <v>9257390</v>
      </c>
      <c r="H1166" s="275">
        <v>8684740</v>
      </c>
      <c r="I1166" s="275">
        <v>8684740</v>
      </c>
      <c r="J1166" s="275">
        <v>8684740</v>
      </c>
      <c r="K1166" s="275">
        <v>8429310</v>
      </c>
      <c r="L1166" s="275">
        <v>8050440</v>
      </c>
      <c r="M1166" s="275">
        <v>8050440</v>
      </c>
      <c r="N1166" s="275">
        <v>9340510</v>
      </c>
      <c r="O1166" s="275">
        <v>9340510</v>
      </c>
      <c r="P1166" s="275">
        <v>9478030</v>
      </c>
      <c r="Q1166" s="275">
        <v>9478030</v>
      </c>
      <c r="R1166" s="275">
        <v>9491950</v>
      </c>
      <c r="S1166" s="275">
        <v>9958420</v>
      </c>
      <c r="T1166" s="275">
        <v>10556960</v>
      </c>
      <c r="U1166" s="275">
        <v>10934450</v>
      </c>
      <c r="V1166" s="275">
        <v>11061910</v>
      </c>
      <c r="W1166" s="275">
        <v>10101260</v>
      </c>
      <c r="X1166" s="275">
        <v>10101260</v>
      </c>
      <c r="Y1166" s="275">
        <v>10162250</v>
      </c>
      <c r="Z1166" s="275">
        <f ca="1">[1]ExtEntry!$Q75</f>
        <v>10162250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4461400</v>
      </c>
      <c r="G1167" s="275">
        <v>4276190</v>
      </c>
      <c r="H1167" s="275">
        <v>4067390</v>
      </c>
      <c r="I1167" s="275">
        <v>4067390</v>
      </c>
      <c r="J1167" s="275">
        <v>4067390</v>
      </c>
      <c r="K1167" s="275">
        <v>3868480</v>
      </c>
      <c r="L1167" s="275">
        <v>2037300</v>
      </c>
      <c r="M1167" s="275">
        <v>2037300</v>
      </c>
      <c r="N1167" s="275">
        <v>1796730</v>
      </c>
      <c r="O1167" s="275">
        <v>1796730</v>
      </c>
      <c r="P1167" s="275">
        <v>2482190</v>
      </c>
      <c r="Q1167" s="275">
        <v>2482190</v>
      </c>
      <c r="R1167" s="275">
        <v>2476190</v>
      </c>
      <c r="S1167" s="275">
        <v>2698110</v>
      </c>
      <c r="T1167" s="275">
        <v>2726250</v>
      </c>
      <c r="U1167" s="275">
        <v>3314380</v>
      </c>
      <c r="V1167" s="275">
        <v>3314380</v>
      </c>
      <c r="W1167" s="275">
        <v>3656660</v>
      </c>
      <c r="X1167" s="275">
        <v>4447770</v>
      </c>
      <c r="Y1167" s="275">
        <v>4286400</v>
      </c>
      <c r="Z1167" s="275">
        <f ca="1">[1]ExtEntry!$Q76</f>
        <v>4286400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-64781.397000000012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0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68737410</v>
      </c>
      <c r="G1168" s="275">
        <v>68145659</v>
      </c>
      <c r="H1168" s="275">
        <v>67377684</v>
      </c>
      <c r="I1168" s="275">
        <v>66378313</v>
      </c>
      <c r="J1168" s="275">
        <v>66378313</v>
      </c>
      <c r="K1168" s="275">
        <v>66095044</v>
      </c>
      <c r="L1168" s="275">
        <v>62481120</v>
      </c>
      <c r="M1168" s="275">
        <v>61662045</v>
      </c>
      <c r="N1168" s="275">
        <v>60430426</v>
      </c>
      <c r="O1168" s="275">
        <v>58999157</v>
      </c>
      <c r="P1168" s="275">
        <v>58365792</v>
      </c>
      <c r="Q1168" s="275">
        <v>58036091</v>
      </c>
      <c r="R1168" s="275">
        <v>58177312</v>
      </c>
      <c r="S1168" s="275">
        <v>58177312</v>
      </c>
      <c r="T1168" s="275">
        <v>55882391</v>
      </c>
      <c r="U1168" s="275">
        <v>53740669</v>
      </c>
      <c r="V1168" s="275">
        <v>52388390</v>
      </c>
      <c r="W1168" s="275">
        <v>51771027</v>
      </c>
      <c r="X1168" s="275">
        <v>51297310</v>
      </c>
      <c r="Y1168" s="275">
        <v>51484361</v>
      </c>
      <c r="Z1168" s="275">
        <f ca="1">[1]ExtEntry!$Q77</f>
        <v>51484361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2129020</v>
      </c>
      <c r="G1169" s="275">
        <v>2138970</v>
      </c>
      <c r="H1169" s="275">
        <v>1697840</v>
      </c>
      <c r="I1169" s="275">
        <v>1697840</v>
      </c>
      <c r="J1169" s="275">
        <v>1697840</v>
      </c>
      <c r="K1169" s="275">
        <v>1663760</v>
      </c>
      <c r="L1169" s="275">
        <v>1476200</v>
      </c>
      <c r="M1169" s="275">
        <v>1476200</v>
      </c>
      <c r="N1169" s="275">
        <v>2257930</v>
      </c>
      <c r="O1169" s="275">
        <v>2257930</v>
      </c>
      <c r="P1169" s="275">
        <v>2662730</v>
      </c>
      <c r="Q1169" s="275">
        <v>2662730</v>
      </c>
      <c r="R1169" s="275">
        <v>2716380</v>
      </c>
      <c r="S1169" s="275">
        <v>2903390</v>
      </c>
      <c r="T1169" s="275">
        <v>3003100</v>
      </c>
      <c r="U1169" s="275">
        <v>3182130</v>
      </c>
      <c r="V1169" s="275">
        <v>3182130</v>
      </c>
      <c r="W1169" s="275">
        <v>2575910</v>
      </c>
      <c r="X1169" s="275">
        <v>2434900</v>
      </c>
      <c r="Y1169" s="275">
        <v>2413200</v>
      </c>
      <c r="Z1169" s="275">
        <f ca="1">[1]ExtEntry!$Q78</f>
        <v>2413200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1191141</v>
      </c>
      <c r="G1170" s="275">
        <v>1183309</v>
      </c>
      <c r="H1170" s="275">
        <v>1196863</v>
      </c>
      <c r="I1170" s="275">
        <v>1208051</v>
      </c>
      <c r="J1170" s="275">
        <v>1208051</v>
      </c>
      <c r="K1170" s="275">
        <v>1205424</v>
      </c>
      <c r="L1170" s="275">
        <v>1229715</v>
      </c>
      <c r="M1170" s="275">
        <v>1220772</v>
      </c>
      <c r="N1170" s="275">
        <v>1207831</v>
      </c>
      <c r="O1170" s="275">
        <v>1207282</v>
      </c>
      <c r="P1170" s="275">
        <v>1209287</v>
      </c>
      <c r="Q1170" s="275">
        <v>1209578</v>
      </c>
      <c r="R1170" s="275">
        <v>1209577</v>
      </c>
      <c r="S1170" s="275">
        <v>1209577</v>
      </c>
      <c r="T1170" s="275">
        <v>1004911</v>
      </c>
      <c r="U1170" s="275">
        <v>891449</v>
      </c>
      <c r="V1170" s="275">
        <v>844861</v>
      </c>
      <c r="W1170" s="275">
        <v>826956</v>
      </c>
      <c r="X1170" s="275">
        <v>820124</v>
      </c>
      <c r="Y1170" s="275">
        <v>847333</v>
      </c>
      <c r="Z1170" s="275">
        <f ca="1">[1]ExtEntry!$Q79</f>
        <v>847333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1960892</v>
      </c>
      <c r="G1171" s="275">
        <v>1946401</v>
      </c>
      <c r="H1171" s="275">
        <v>1944953</v>
      </c>
      <c r="I1171" s="275">
        <v>1914903</v>
      </c>
      <c r="J1171" s="275">
        <v>1914903</v>
      </c>
      <c r="K1171" s="275">
        <v>1909908</v>
      </c>
      <c r="L1171" s="275">
        <v>1817469</v>
      </c>
      <c r="M1171" s="275">
        <v>1792462</v>
      </c>
      <c r="N1171" s="275">
        <v>1773773</v>
      </c>
      <c r="O1171" s="275">
        <v>1739349</v>
      </c>
      <c r="P1171" s="275">
        <v>1716818</v>
      </c>
      <c r="Q1171" s="275">
        <v>1701444</v>
      </c>
      <c r="R1171" s="275">
        <v>1734707</v>
      </c>
      <c r="S1171" s="275">
        <v>1734707</v>
      </c>
      <c r="T1171" s="275">
        <v>1707160</v>
      </c>
      <c r="U1171" s="275">
        <v>1685748</v>
      </c>
      <c r="V1171" s="275">
        <v>1621787</v>
      </c>
      <c r="W1171" s="275">
        <v>1656090</v>
      </c>
      <c r="X1171" s="275">
        <v>1656853</v>
      </c>
      <c r="Y1171" s="275">
        <v>1680804</v>
      </c>
      <c r="Z1171" s="275">
        <f ca="1">[1]ExtEntry!$Q80</f>
        <v>1680804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4384530</v>
      </c>
      <c r="G1172" s="275">
        <v>4426843</v>
      </c>
      <c r="H1172" s="275">
        <v>4560688</v>
      </c>
      <c r="I1172" s="275">
        <v>4750804</v>
      </c>
      <c r="J1172" s="275">
        <v>4750804</v>
      </c>
      <c r="K1172" s="275">
        <v>4915183</v>
      </c>
      <c r="L1172" s="275">
        <v>4383974</v>
      </c>
      <c r="M1172" s="275">
        <v>4348446</v>
      </c>
      <c r="N1172" s="275">
        <v>4241926</v>
      </c>
      <c r="O1172" s="275">
        <v>4077429</v>
      </c>
      <c r="P1172" s="275">
        <v>4089244</v>
      </c>
      <c r="Q1172" s="275">
        <v>4061121</v>
      </c>
      <c r="R1172" s="275">
        <v>4043981</v>
      </c>
      <c r="S1172" s="275">
        <v>4043981</v>
      </c>
      <c r="T1172" s="275">
        <v>3946831</v>
      </c>
      <c r="U1172" s="275">
        <v>3940716</v>
      </c>
      <c r="V1172" s="275">
        <v>3889756</v>
      </c>
      <c r="W1172" s="275">
        <v>3867224</v>
      </c>
      <c r="X1172" s="275">
        <v>3894598</v>
      </c>
      <c r="Y1172" s="275">
        <v>3914996</v>
      </c>
      <c r="Z1172" s="275">
        <f ca="1">[1]ExtEntry!$Q81</f>
        <v>3914996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-83739.551899999991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12569202</v>
      </c>
      <c r="G1173" s="275">
        <v>11851985</v>
      </c>
      <c r="H1173" s="275">
        <v>11752261</v>
      </c>
      <c r="I1173" s="275">
        <v>11651851</v>
      </c>
      <c r="J1173" s="275">
        <v>11651851</v>
      </c>
      <c r="K1173" s="275">
        <v>11466648</v>
      </c>
      <c r="L1173" s="275">
        <v>10926421</v>
      </c>
      <c r="M1173" s="275">
        <v>10870186</v>
      </c>
      <c r="N1173" s="275">
        <v>10768447</v>
      </c>
      <c r="O1173" s="275">
        <v>10468355</v>
      </c>
      <c r="P1173" s="275">
        <v>8912403</v>
      </c>
      <c r="Q1173" s="275">
        <v>8379051</v>
      </c>
      <c r="R1173" s="275">
        <v>8031298</v>
      </c>
      <c r="S1173" s="275">
        <v>8031298</v>
      </c>
      <c r="T1173" s="275">
        <v>7619263</v>
      </c>
      <c r="U1173" s="275">
        <v>7400347</v>
      </c>
      <c r="V1173" s="275">
        <v>7270751</v>
      </c>
      <c r="W1173" s="275">
        <v>7265783</v>
      </c>
      <c r="X1173" s="275">
        <v>7193344</v>
      </c>
      <c r="Y1173" s="275">
        <v>7300382</v>
      </c>
      <c r="Z1173" s="275">
        <f ca="1">[1]ExtEntry!$Q82</f>
        <v>7300382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2596798</v>
      </c>
      <c r="G1174" s="275">
        <v>2599399</v>
      </c>
      <c r="H1174" s="275">
        <v>2561081</v>
      </c>
      <c r="I1174" s="275">
        <v>2533525</v>
      </c>
      <c r="J1174" s="275">
        <v>2533525</v>
      </c>
      <c r="K1174" s="275">
        <v>2528929</v>
      </c>
      <c r="L1174" s="275">
        <v>2524803</v>
      </c>
      <c r="M1174" s="275">
        <v>2516395</v>
      </c>
      <c r="N1174" s="275">
        <v>2626955</v>
      </c>
      <c r="O1174" s="275">
        <v>2598962</v>
      </c>
      <c r="P1174" s="275">
        <v>2610371</v>
      </c>
      <c r="Q1174" s="275">
        <v>2634278</v>
      </c>
      <c r="R1174" s="275">
        <v>2625963</v>
      </c>
      <c r="S1174" s="275">
        <v>2625963</v>
      </c>
      <c r="T1174" s="275">
        <v>2561396</v>
      </c>
      <c r="U1174" s="275">
        <v>2475956</v>
      </c>
      <c r="V1174" s="275">
        <v>2421220</v>
      </c>
      <c r="W1174" s="275">
        <v>2392472</v>
      </c>
      <c r="X1174" s="275">
        <v>2378562</v>
      </c>
      <c r="Y1174" s="275">
        <v>2385039</v>
      </c>
      <c r="Z1174" s="275">
        <f ca="1">[1]ExtEntry!$Q83</f>
        <v>2385039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6760146</v>
      </c>
      <c r="G1175" s="275">
        <v>6991376</v>
      </c>
      <c r="H1175" s="275">
        <v>7120882</v>
      </c>
      <c r="I1175" s="275">
        <v>7349647</v>
      </c>
      <c r="J1175" s="275">
        <v>7349647</v>
      </c>
      <c r="K1175" s="275">
        <v>7374081</v>
      </c>
      <c r="L1175" s="275">
        <v>8391332</v>
      </c>
      <c r="M1175" s="275">
        <v>8570089</v>
      </c>
      <c r="N1175" s="275">
        <v>8628832</v>
      </c>
      <c r="O1175" s="275">
        <v>8626778</v>
      </c>
      <c r="P1175" s="275">
        <v>8439113</v>
      </c>
      <c r="Q1175" s="275">
        <v>8499505</v>
      </c>
      <c r="R1175" s="275">
        <v>8548287</v>
      </c>
      <c r="S1175" s="275">
        <v>8548287</v>
      </c>
      <c r="T1175" s="275">
        <v>8647727</v>
      </c>
      <c r="U1175" s="275">
        <v>8669477</v>
      </c>
      <c r="V1175" s="275">
        <v>8592195</v>
      </c>
      <c r="W1175" s="275">
        <v>8607326</v>
      </c>
      <c r="X1175" s="275">
        <v>8438795</v>
      </c>
      <c r="Y1175" s="275">
        <v>7674292</v>
      </c>
      <c r="Z1175" s="275">
        <f ca="1">[1]ExtEntry!$Q84</f>
        <v>7674292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-17573.625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2039761</v>
      </c>
      <c r="G1176" s="275">
        <v>2021568</v>
      </c>
      <c r="H1176" s="275">
        <v>1958580</v>
      </c>
      <c r="I1176" s="275">
        <v>1940746</v>
      </c>
      <c r="J1176" s="275">
        <v>1940746</v>
      </c>
      <c r="K1176" s="275">
        <v>1922510</v>
      </c>
      <c r="L1176" s="275">
        <v>1662627</v>
      </c>
      <c r="M1176" s="275">
        <v>1627929</v>
      </c>
      <c r="N1176" s="275">
        <v>1576527</v>
      </c>
      <c r="O1176" s="275">
        <v>1498281</v>
      </c>
      <c r="P1176" s="275">
        <v>1432930</v>
      </c>
      <c r="Q1176" s="275">
        <v>1365135</v>
      </c>
      <c r="R1176" s="275">
        <v>1332286</v>
      </c>
      <c r="S1176" s="275">
        <v>1332286</v>
      </c>
      <c r="T1176" s="275">
        <v>1328756</v>
      </c>
      <c r="U1176" s="275">
        <v>1310208</v>
      </c>
      <c r="V1176" s="275">
        <v>1274466</v>
      </c>
      <c r="W1176" s="275">
        <v>1219238</v>
      </c>
      <c r="X1176" s="275">
        <v>1201427</v>
      </c>
      <c r="Y1176" s="275">
        <v>1157588</v>
      </c>
      <c r="Z1176" s="275">
        <f ca="1">[1]ExtEntry!$Q85</f>
        <v>1157588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5005910</v>
      </c>
      <c r="G1177" s="275">
        <v>5182480</v>
      </c>
      <c r="H1177" s="275">
        <v>4613450</v>
      </c>
      <c r="I1177" s="275">
        <v>4613450</v>
      </c>
      <c r="J1177" s="275">
        <v>4613450</v>
      </c>
      <c r="K1177" s="275">
        <v>4410890</v>
      </c>
      <c r="L1177" s="275">
        <v>4177700</v>
      </c>
      <c r="M1177" s="275">
        <v>4177700</v>
      </c>
      <c r="N1177" s="275">
        <v>5195680</v>
      </c>
      <c r="O1177" s="275">
        <v>5195680</v>
      </c>
      <c r="P1177" s="275">
        <v>5258640</v>
      </c>
      <c r="Q1177" s="275">
        <v>5258640</v>
      </c>
      <c r="R1177" s="275">
        <v>5162760</v>
      </c>
      <c r="S1177" s="275">
        <v>5146010</v>
      </c>
      <c r="T1177" s="275">
        <v>5508670</v>
      </c>
      <c r="U1177" s="275">
        <v>5804800</v>
      </c>
      <c r="V1177" s="275">
        <v>5804800</v>
      </c>
      <c r="W1177" s="275">
        <v>4580850</v>
      </c>
      <c r="X1177" s="275">
        <v>4331880</v>
      </c>
      <c r="Y1177" s="275">
        <v>4277840</v>
      </c>
      <c r="Z1177" s="275">
        <f ca="1">[1]ExtEntry!$Q86</f>
        <v>4277840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10913616</v>
      </c>
      <c r="G1178" s="275">
        <v>10884463</v>
      </c>
      <c r="H1178" s="275">
        <v>10930871</v>
      </c>
      <c r="I1178" s="275">
        <v>10836888</v>
      </c>
      <c r="J1178" s="275">
        <v>10836888</v>
      </c>
      <c r="K1178" s="275">
        <v>9931506</v>
      </c>
      <c r="L1178" s="275">
        <v>9503240</v>
      </c>
      <c r="M1178" s="275">
        <v>9552029</v>
      </c>
      <c r="N1178" s="275">
        <v>9601472</v>
      </c>
      <c r="O1178" s="275">
        <v>9647469</v>
      </c>
      <c r="P1178" s="275">
        <v>9669612</v>
      </c>
      <c r="Q1178" s="275">
        <v>9675842</v>
      </c>
      <c r="R1178" s="275">
        <v>9670422</v>
      </c>
      <c r="S1178" s="275">
        <v>9670422</v>
      </c>
      <c r="T1178" s="275">
        <v>9559081</v>
      </c>
      <c r="U1178" s="275">
        <v>9615934</v>
      </c>
      <c r="V1178" s="275">
        <v>9342419</v>
      </c>
      <c r="W1178" s="275">
        <v>9064183</v>
      </c>
      <c r="X1178" s="275">
        <v>9043988</v>
      </c>
      <c r="Y1178" s="275">
        <v>8650520</v>
      </c>
      <c r="Z1178" s="275">
        <f ca="1">[1]ExtEntry!$Q87</f>
        <v>8650520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-155505.28350000002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44735336</v>
      </c>
      <c r="G1179" s="275">
        <v>44455925</v>
      </c>
      <c r="H1179" s="275">
        <v>44335143</v>
      </c>
      <c r="I1179" s="275">
        <v>44723354</v>
      </c>
      <c r="J1179" s="275">
        <v>44723354</v>
      </c>
      <c r="K1179" s="275">
        <v>43711856</v>
      </c>
      <c r="L1179" s="275">
        <v>42984579</v>
      </c>
      <c r="M1179" s="275">
        <v>42945412</v>
      </c>
      <c r="N1179" s="275">
        <v>42779298</v>
      </c>
      <c r="O1179" s="275">
        <v>42369979</v>
      </c>
      <c r="P1179" s="275">
        <v>43115357</v>
      </c>
      <c r="Q1179" s="275">
        <v>43170819</v>
      </c>
      <c r="R1179" s="275">
        <v>43715953</v>
      </c>
      <c r="S1179" s="275">
        <v>43715953</v>
      </c>
      <c r="T1179" s="275">
        <v>43656101</v>
      </c>
      <c r="U1179" s="275">
        <v>42529897</v>
      </c>
      <c r="V1179" s="275">
        <v>42446303</v>
      </c>
      <c r="W1179" s="275">
        <v>41475926</v>
      </c>
      <c r="X1179" s="275">
        <v>38236759</v>
      </c>
      <c r="Y1179" s="275">
        <v>37080558</v>
      </c>
      <c r="Z1179" s="275">
        <f ca="1">[1]ExtEntry!$Q88</f>
        <v>37080558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28626888</v>
      </c>
      <c r="G1180" s="275">
        <v>28256188</v>
      </c>
      <c r="H1180" s="275">
        <v>27738266</v>
      </c>
      <c r="I1180" s="275">
        <v>26647362</v>
      </c>
      <c r="J1180" s="275">
        <v>26647362</v>
      </c>
      <c r="K1180" s="275">
        <v>25897065</v>
      </c>
      <c r="L1180" s="275">
        <v>24661601</v>
      </c>
      <c r="M1180" s="275">
        <v>24423149</v>
      </c>
      <c r="N1180" s="275">
        <v>23515583</v>
      </c>
      <c r="O1180" s="275">
        <v>23227393</v>
      </c>
      <c r="P1180" s="275">
        <v>22964072</v>
      </c>
      <c r="Q1180" s="275">
        <v>23081553</v>
      </c>
      <c r="R1180" s="275">
        <v>23168692</v>
      </c>
      <c r="S1180" s="275">
        <v>23168692</v>
      </c>
      <c r="T1180" s="275">
        <v>22862852</v>
      </c>
      <c r="U1180" s="275">
        <v>22702995</v>
      </c>
      <c r="V1180" s="275">
        <v>22688352</v>
      </c>
      <c r="W1180" s="275">
        <v>22563076</v>
      </c>
      <c r="X1180" s="275">
        <v>22368094</v>
      </c>
      <c r="Y1180" s="275">
        <v>21588861</v>
      </c>
      <c r="Z1180" s="275">
        <f ca="1">[1]ExtEntry!$Q89</f>
        <v>21588861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-97744.674999999988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2740810</v>
      </c>
      <c r="G1181" s="275">
        <v>2734104</v>
      </c>
      <c r="H1181" s="275">
        <v>2730811</v>
      </c>
      <c r="I1181" s="275">
        <v>2806644</v>
      </c>
      <c r="J1181" s="275">
        <v>2806644</v>
      </c>
      <c r="K1181" s="275">
        <v>2786957</v>
      </c>
      <c r="L1181" s="275">
        <v>2737075</v>
      </c>
      <c r="M1181" s="275">
        <v>2587728</v>
      </c>
      <c r="N1181" s="275">
        <v>2552561</v>
      </c>
      <c r="O1181" s="275">
        <v>2392665</v>
      </c>
      <c r="P1181" s="275">
        <v>2341744</v>
      </c>
      <c r="Q1181" s="275">
        <v>2332078</v>
      </c>
      <c r="R1181" s="275">
        <v>2326704</v>
      </c>
      <c r="S1181" s="275">
        <v>2326704</v>
      </c>
      <c r="T1181" s="275">
        <v>2371574</v>
      </c>
      <c r="U1181" s="275">
        <v>2409146</v>
      </c>
      <c r="V1181" s="275">
        <v>2471417</v>
      </c>
      <c r="W1181" s="275">
        <v>2458486</v>
      </c>
      <c r="X1181" s="275">
        <v>2482191</v>
      </c>
      <c r="Y1181" s="275">
        <v>2562059</v>
      </c>
      <c r="Z1181" s="275">
        <f ca="1">[1]ExtEntry!$Q90</f>
        <v>2562059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16187130</v>
      </c>
      <c r="G1182" s="267">
        <v>16282893</v>
      </c>
      <c r="H1182" s="267">
        <v>16036501</v>
      </c>
      <c r="I1182" s="267">
        <v>15862519</v>
      </c>
      <c r="J1182" s="267">
        <v>15862519</v>
      </c>
      <c r="K1182" s="267">
        <v>15809757</v>
      </c>
      <c r="L1182" s="267">
        <v>15781707</v>
      </c>
      <c r="M1182" s="267">
        <v>14077939</v>
      </c>
      <c r="N1182" s="267">
        <v>8703890</v>
      </c>
      <c r="O1182" s="267">
        <v>8335002</v>
      </c>
      <c r="P1182" s="267">
        <v>8160687</v>
      </c>
      <c r="Q1182" s="267">
        <v>8154967</v>
      </c>
      <c r="R1182" s="267">
        <v>8044369</v>
      </c>
      <c r="S1182" s="267">
        <v>8044369</v>
      </c>
      <c r="T1182" s="267">
        <v>7716194</v>
      </c>
      <c r="U1182" s="267">
        <v>7636834</v>
      </c>
      <c r="V1182" s="267">
        <v>7515086</v>
      </c>
      <c r="W1182" s="267">
        <v>7438291</v>
      </c>
      <c r="X1182" s="267">
        <v>7380247</v>
      </c>
      <c r="Y1182" s="267">
        <v>7288569</v>
      </c>
      <c r="Z1182" s="267">
        <f ca="1">[1]ExtEntry!$Q91</f>
        <v>7288569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-42886.648750000037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1545569</v>
      </c>
      <c r="G1183" s="275">
        <v>1543423</v>
      </c>
      <c r="H1183" s="275">
        <v>1549249</v>
      </c>
      <c r="I1183" s="275">
        <v>1550382</v>
      </c>
      <c r="J1183" s="275">
        <v>1550382</v>
      </c>
      <c r="K1183" s="275">
        <v>1552925</v>
      </c>
      <c r="L1183" s="275">
        <v>1514750</v>
      </c>
      <c r="M1183" s="275">
        <v>1457471</v>
      </c>
      <c r="N1183" s="275">
        <v>1240211</v>
      </c>
      <c r="O1183" s="275">
        <v>1161543</v>
      </c>
      <c r="P1183" s="275">
        <v>1100661</v>
      </c>
      <c r="Q1183" s="275">
        <v>1058098</v>
      </c>
      <c r="R1183" s="275">
        <v>989942</v>
      </c>
      <c r="S1183" s="275">
        <v>989942</v>
      </c>
      <c r="T1183" s="275">
        <v>953068</v>
      </c>
      <c r="U1183" s="275">
        <v>934083</v>
      </c>
      <c r="V1183" s="275">
        <v>932349</v>
      </c>
      <c r="W1183" s="275">
        <v>955251</v>
      </c>
      <c r="X1183" s="275">
        <v>1012095</v>
      </c>
      <c r="Y1183" s="275">
        <v>1049625</v>
      </c>
      <c r="Z1183" s="275">
        <f ca="1">[1]ExtEntry!$Q92</f>
        <v>1049625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-107201.80200000001</v>
      </c>
      <c r="AR1183" s="341">
        <v>-58631.802000000011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3687660</v>
      </c>
      <c r="G1185" s="275">
        <v>3907630</v>
      </c>
      <c r="H1185" s="275">
        <v>3780100</v>
      </c>
      <c r="I1185" s="275">
        <v>3780100</v>
      </c>
      <c r="J1185" s="275">
        <v>3780100</v>
      </c>
      <c r="K1185" s="275">
        <v>3601080</v>
      </c>
      <c r="L1185" s="275">
        <v>3796190</v>
      </c>
      <c r="M1185" s="275">
        <v>3796190</v>
      </c>
      <c r="N1185" s="275">
        <v>3854780</v>
      </c>
      <c r="O1185" s="275">
        <v>3854780</v>
      </c>
      <c r="P1185" s="275">
        <v>3755740</v>
      </c>
      <c r="Q1185" s="275">
        <v>3755740</v>
      </c>
      <c r="R1185" s="275">
        <v>3738460</v>
      </c>
      <c r="S1185" s="275">
        <v>3846200</v>
      </c>
      <c r="T1185" s="275">
        <v>3759440</v>
      </c>
      <c r="U1185" s="275">
        <v>4158470</v>
      </c>
      <c r="V1185" s="275">
        <v>4405700</v>
      </c>
      <c r="W1185" s="275">
        <v>4179220</v>
      </c>
      <c r="X1185" s="275">
        <v>4102740</v>
      </c>
      <c r="Y1185" s="275">
        <v>3992280</v>
      </c>
      <c r="Z1185" s="275">
        <f ca="1">[1]ExtEntry!$Q94</f>
        <v>3992280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46">
        <v>#VALUE!</v>
      </c>
      <c r="G1186" s="267" t="e" vm="346">
        <v>#VALUE!</v>
      </c>
      <c r="H1186" s="267" t="e" vm="346">
        <v>#VALUE!</v>
      </c>
      <c r="I1186" s="267" t="e" vm="346">
        <v>#VALUE!</v>
      </c>
      <c r="J1186" s="267" t="e" vm="346">
        <v>#VALUE!</v>
      </c>
      <c r="K1186" s="267" t="e" vm="346">
        <v>#VALUE!</v>
      </c>
      <c r="L1186" s="267" t="e" vm="346">
        <v>#VALUE!</v>
      </c>
      <c r="M1186" s="267" t="e" vm="346">
        <v>#VALUE!</v>
      </c>
      <c r="N1186" s="267" t="e" vm="346">
        <v>#VALUE!</v>
      </c>
      <c r="O1186" s="267" t="e" vm="346">
        <v>#VALUE!</v>
      </c>
      <c r="P1186" s="267" t="e" vm="346">
        <v>#VALUE!</v>
      </c>
      <c r="Q1186" s="267" t="e" vm="346">
        <v>#VALUE!</v>
      </c>
      <c r="R1186" s="267" t="e" vm="346">
        <v>#VALUE!</v>
      </c>
      <c r="S1186" s="267" t="e" vm="346">
        <v>#VALUE!</v>
      </c>
      <c r="T1186" s="267" t="e" vm="346">
        <v>#VALUE!</v>
      </c>
      <c r="U1186" s="267" t="e" vm="346">
        <v>#VALUE!</v>
      </c>
      <c r="V1186" s="267" t="e" vm="346">
        <v>#VALUE!</v>
      </c>
      <c r="W1186" s="267" t="e" vm="346">
        <v>#VALUE!</v>
      </c>
      <c r="X1186" s="267" t="e" vm="346">
        <v>#VALUE!</v>
      </c>
      <c r="Y1186" s="267" t="e" vm="346">
        <v>#VALUE!</v>
      </c>
      <c r="Z1186" s="275" t="e" vm="347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1029.2849999999744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-51.349999999999909</v>
      </c>
      <c r="AC1190" s="102" cm="1">
        <f t="array" aca="1" ref="AC1190" ca="1">_xlfn.XLOOKUP(DataShiftChartTicker,ListTickers,Tab2RevSale[RevSale1])</f>
        <v>-32.049999999999841</v>
      </c>
      <c r="AD1190" s="102" cm="1">
        <f t="array" aca="1" ref="AD1190" ca="1">_xlfn.XLOOKUP(DataShiftChartTicker,ListTickers,Tab2RevSale[RevSale2])</f>
        <v>-37.642000000000166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-67.267999999999688</v>
      </c>
      <c r="AG1190" s="102" cm="1">
        <f t="array" aca="1" ref="AG1190" ca="1">_xlfn.XLOOKUP(DataShiftChartTicker,ListTickers,Tab2RevSale[RevSale5])</f>
        <v>-126.10000000000014</v>
      </c>
      <c r="AH1190" s="102" cm="1">
        <f t="array" aca="1" ref="AH1190" ca="1">_xlfn.XLOOKUP(DataShiftChartTicker,ListTickers,Tab2RevSale[RevSale6])</f>
        <v>100.90000000000032</v>
      </c>
      <c r="AI1190" s="102" cm="1">
        <f t="array" aca="1" ref="AI1190" ca="1">_xlfn.XLOOKUP(DataShiftChartTicker,ListTickers,Tab2RevSale[RevSale7])</f>
        <v>151.60000000000025</v>
      </c>
      <c r="AJ1190" s="102" cm="1">
        <f t="array" aca="1" ref="AJ1190" ca="1">_xlfn.XLOOKUP(DataShiftChartTicker,ListTickers,Tab2RevSale[RevSale8])</f>
        <v>130.90000000000032</v>
      </c>
      <c r="AK1190" s="102" cm="1">
        <f t="array" aca="1" ref="AK1190" ca="1">_xlfn.XLOOKUP(DataShiftChartTicker,ListTickers,Tab2RevSale[RevSale9])</f>
        <v>84.680000000000177</v>
      </c>
      <c r="AL1190" s="102" cm="1">
        <f t="array" aca="1" ref="AL1190" ca="1">_xlfn.XLOOKUP(DataShiftChartTicker,ListTickers,Tab2RevSale[RevSale10])</f>
        <v>-26.399999999999864</v>
      </c>
      <c r="AM1190" s="102" cm="1">
        <f t="array" aca="1" ref="AM1190" ca="1">_xlfn.XLOOKUP(DataShiftChartTicker,ListTickers,Tab2RevSale[RevSale11])</f>
        <v>-87.767999999999802</v>
      </c>
      <c r="AN1190" s="102" cm="1">
        <f t="array" aca="1" ref="AN1190" ca="1">_xlfn.XLOOKUP(DataShiftChartTicker,ListTickers,Tab2RevSale[RevSale12])</f>
        <v>-41.999999999999886</v>
      </c>
      <c r="AO1190" s="102" cm="1">
        <f t="array" aca="1" ref="AO1190" ca="1">_xlfn.XLOOKUP(DataShiftChartTicker,ListTickers,Tab2RevSale[RevSale13])</f>
        <v>-24.200000000000159</v>
      </c>
      <c r="AP1190" s="102" cm="1">
        <f t="array" aca="1" ref="AP1190" ca="1">_xlfn.XLOOKUP(DataShiftChartTicker,ListTickers,Tab2RevSale[RevSale14])</f>
        <v>20.199999999999818</v>
      </c>
      <c r="AQ1190" s="102" cm="1">
        <f t="array" aca="1" ref="AQ1190" ca="1">_xlfn.XLOOKUP(DataShiftChartTicker,ListTickers,Tab2RevSale[RevSale15])</f>
        <v>98.899999999999864</v>
      </c>
      <c r="AR1190" s="102" cm="1">
        <f t="array" aca="1" ref="AR1190" ca="1">_xlfn.XLOOKUP(DataShiftChartTicker,ListTickers,Tab2RevSale[RevSale16])</f>
        <v>104.60000000000036</v>
      </c>
      <c r="AS1190" s="102" cm="1">
        <f t="array" aca="1" ref="AS1190" ca="1">_xlfn.XLOOKUP(DataShiftChartTicker,ListTickers,Tab2RevSale[RevSale17])</f>
        <v>112.8000000000003</v>
      </c>
      <c r="AT1190" s="102" cm="1">
        <f t="array" aca="1" ref="AT1190" ca="1">_xlfn.XLOOKUP(DataShiftChartTicker,ListTickers,Tab2RevSale[RevSale18])</f>
        <v>319.00000000000034</v>
      </c>
      <c r="AU1190" s="102" cm="1">
        <f t="array" aca="1" ref="AU1190" ca="1">_xlfn.XLOOKUP(DataShiftChartTicker,ListTickers,Tab2RevSale[RevSale19])</f>
        <v>594.30000000000007</v>
      </c>
      <c r="AV1190" s="102" cm="1">
        <f t="array" aca="1" ref="AV1190" ca="1">_xlfn.XLOOKUP(DataShiftChartTicker,ListTickers,Tab2RevSale[RevSale20])</f>
        <v>594.30000000000007</v>
      </c>
      <c r="AX1190" s="97">
        <f t="shared" si="82"/>
        <v>0</v>
      </c>
    </row>
    <row r="1191" spans="1:50" x14ac:dyDescent="0.3">
      <c r="F1191" s="128">
        <f t="shared" ref="F1191:Z1191" si="84">F1092</f>
        <v>45887</v>
      </c>
      <c r="G1191" s="128">
        <f t="shared" si="84"/>
        <v>45888</v>
      </c>
      <c r="H1191" s="128">
        <f t="shared" si="84"/>
        <v>45889</v>
      </c>
      <c r="I1191" s="128">
        <f t="shared" si="84"/>
        <v>45890</v>
      </c>
      <c r="J1191" s="128">
        <f t="shared" si="84"/>
        <v>45891</v>
      </c>
      <c r="K1191" s="128">
        <f t="shared" si="84"/>
        <v>45894</v>
      </c>
      <c r="L1191" s="128">
        <f t="shared" si="84"/>
        <v>45895</v>
      </c>
      <c r="M1191" s="128">
        <f t="shared" si="84"/>
        <v>45896</v>
      </c>
      <c r="N1191" s="128">
        <f t="shared" si="84"/>
        <v>45897</v>
      </c>
      <c r="O1191" s="128">
        <f t="shared" si="84"/>
        <v>45898</v>
      </c>
      <c r="P1191" s="128">
        <f t="shared" si="84"/>
        <v>45901</v>
      </c>
      <c r="Q1191" s="128">
        <f t="shared" si="84"/>
        <v>45902</v>
      </c>
      <c r="R1191" s="128">
        <f t="shared" si="84"/>
        <v>45903</v>
      </c>
      <c r="S1191" s="128">
        <f t="shared" si="84"/>
        <v>45904</v>
      </c>
      <c r="T1191" s="128">
        <f t="shared" si="84"/>
        <v>45905</v>
      </c>
      <c r="U1191" s="128">
        <f t="shared" si="84"/>
        <v>45908</v>
      </c>
      <c r="V1191" s="128">
        <f t="shared" si="84"/>
        <v>45909</v>
      </c>
      <c r="W1191" s="128">
        <f t="shared" si="84"/>
        <v>45910</v>
      </c>
      <c r="X1191" s="128">
        <f t="shared" si="84"/>
        <v>45911</v>
      </c>
      <c r="Y1191" s="128">
        <f t="shared" si="84"/>
        <v>45912</v>
      </c>
      <c r="Z1191" s="128">
        <f t="shared" ca="1" si="84"/>
        <v>45912</v>
      </c>
      <c r="AB1191" s="128">
        <f t="shared" ref="AB1191:AV1191" si="85">F1092</f>
        <v>45887</v>
      </c>
      <c r="AC1191" s="128">
        <f t="shared" si="85"/>
        <v>45888</v>
      </c>
      <c r="AD1191" s="128">
        <f t="shared" si="85"/>
        <v>45889</v>
      </c>
      <c r="AE1191" s="128">
        <f t="shared" si="85"/>
        <v>45890</v>
      </c>
      <c r="AF1191" s="128">
        <f t="shared" si="85"/>
        <v>45891</v>
      </c>
      <c r="AG1191" s="128">
        <f t="shared" si="85"/>
        <v>45894</v>
      </c>
      <c r="AH1191" s="128">
        <f t="shared" si="85"/>
        <v>45895</v>
      </c>
      <c r="AI1191" s="128">
        <f t="shared" si="85"/>
        <v>45896</v>
      </c>
      <c r="AJ1191" s="128">
        <f t="shared" si="85"/>
        <v>45897</v>
      </c>
      <c r="AK1191" s="128">
        <f t="shared" si="85"/>
        <v>45898</v>
      </c>
      <c r="AL1191" s="128">
        <f t="shared" si="85"/>
        <v>45901</v>
      </c>
      <c r="AM1191" s="128">
        <f t="shared" si="85"/>
        <v>45902</v>
      </c>
      <c r="AN1191" s="128">
        <f t="shared" si="85"/>
        <v>45903</v>
      </c>
      <c r="AO1191" s="128">
        <f t="shared" si="85"/>
        <v>45904</v>
      </c>
      <c r="AP1191" s="128">
        <f t="shared" si="85"/>
        <v>45905</v>
      </c>
      <c r="AQ1191" s="128">
        <f t="shared" si="85"/>
        <v>45908</v>
      </c>
      <c r="AR1191" s="128">
        <f t="shared" si="85"/>
        <v>45909</v>
      </c>
      <c r="AS1191" s="128">
        <f t="shared" si="85"/>
        <v>45910</v>
      </c>
      <c r="AT1191" s="128">
        <f t="shared" si="85"/>
        <v>45911</v>
      </c>
      <c r="AU1191" s="128">
        <f t="shared" si="85"/>
        <v>45912</v>
      </c>
      <c r="AV1191" s="128">
        <f t="shared" ca="1" si="85"/>
        <v>45912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1.1096999999999999</v>
      </c>
      <c r="G1193" s="263">
        <v>1.1096999999999999</v>
      </c>
      <c r="H1193" s="263">
        <v>1.1072</v>
      </c>
      <c r="I1193" s="263">
        <v>1.107</v>
      </c>
      <c r="J1193" s="263">
        <v>1.107</v>
      </c>
      <c r="K1193" s="263">
        <v>1.1026</v>
      </c>
      <c r="L1193" s="263">
        <v>1.1077999999999999</v>
      </c>
      <c r="M1193" s="263">
        <v>1.1052999999999999</v>
      </c>
      <c r="N1193" s="263">
        <v>1.1083000000000001</v>
      </c>
      <c r="O1193" s="263">
        <v>1.1101000000000001</v>
      </c>
      <c r="P1193" s="263">
        <v>1.1086</v>
      </c>
      <c r="Q1193" s="263">
        <v>1.1086</v>
      </c>
      <c r="R1193" s="263">
        <v>1.0844</v>
      </c>
      <c r="S1193" s="263">
        <v>1.0807</v>
      </c>
      <c r="T1193" s="263">
        <v>1.0827</v>
      </c>
      <c r="U1193" s="263">
        <v>1.0818000000000001</v>
      </c>
      <c r="V1193" s="263">
        <v>1.0829</v>
      </c>
      <c r="W1193" s="263">
        <v>1.0838000000000001</v>
      </c>
      <c r="X1193" s="263">
        <v>1.0841000000000001</v>
      </c>
      <c r="Y1193" s="263">
        <v>1.0819000000000001</v>
      </c>
      <c r="Z1193" s="265">
        <f ca="1">[1]ExtEntry!$R3</f>
        <v>1.0819000000000001</v>
      </c>
      <c r="AB1193" s="341">
        <v>9444.0000000000055</v>
      </c>
      <c r="AC1193" s="341">
        <v>9162.0000000000055</v>
      </c>
      <c r="AD1193" s="341">
        <v>9093</v>
      </c>
      <c r="AE1193" s="341">
        <v>8826.0000000000055</v>
      </c>
      <c r="AF1193" s="341">
        <v>8826.0000000000055</v>
      </c>
      <c r="AG1193" s="341">
        <v>7593.0000000000009</v>
      </c>
      <c r="AH1193" s="341">
        <v>7938.0000000000027</v>
      </c>
      <c r="AI1193" s="341">
        <v>8583.0000000000036</v>
      </c>
      <c r="AJ1193" s="341">
        <v>8937.0000000000055</v>
      </c>
      <c r="AK1193" s="341">
        <v>9209.9700000000048</v>
      </c>
      <c r="AL1193" s="341">
        <v>9432</v>
      </c>
      <c r="AM1193" s="341">
        <v>8063.9400000000051</v>
      </c>
      <c r="AN1193" s="341">
        <v>10648.620000000006</v>
      </c>
      <c r="AO1193" s="341">
        <v>11331.000000000004</v>
      </c>
      <c r="AP1193" s="341">
        <v>11724.000000000004</v>
      </c>
      <c r="AQ1193" s="341">
        <v>11154.000000000002</v>
      </c>
      <c r="AR1193" s="341">
        <v>10095.000000000002</v>
      </c>
      <c r="AS1193" s="341">
        <v>7827.0000000000009</v>
      </c>
      <c r="AT1193" s="341">
        <v>8911.5000000000036</v>
      </c>
      <c r="AU1193" s="341">
        <v>10011.000000000002</v>
      </c>
      <c r="AV1193" s="341">
        <f ca="1">Calc!W3</f>
        <v>10011.000000000002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2.5331000000000001</v>
      </c>
      <c r="G1194" s="271">
        <v>2.5316999999999998</v>
      </c>
      <c r="H1194" s="271">
        <v>2.5303</v>
      </c>
      <c r="I1194" s="271">
        <v>2.5308000000000002</v>
      </c>
      <c r="J1194" s="271">
        <v>2.5308000000000002</v>
      </c>
      <c r="K1194" s="271">
        <v>2.5257999999999998</v>
      </c>
      <c r="L1194" s="271">
        <v>2.5348000000000002</v>
      </c>
      <c r="M1194" s="271">
        <v>2.5308999999999999</v>
      </c>
      <c r="N1194" s="271">
        <v>2.5337999999999998</v>
      </c>
      <c r="O1194" s="271">
        <v>2.5369000000000002</v>
      </c>
      <c r="P1194" s="271">
        <v>2.5346000000000002</v>
      </c>
      <c r="Q1194" s="271">
        <v>2.5346000000000002</v>
      </c>
      <c r="R1194" s="271">
        <v>2.5301999999999998</v>
      </c>
      <c r="S1194" s="271">
        <v>2.5283000000000002</v>
      </c>
      <c r="T1194" s="271">
        <v>2.5308000000000002</v>
      </c>
      <c r="U1194" s="271">
        <v>2.5304000000000002</v>
      </c>
      <c r="V1194" s="271">
        <v>2.5308999999999999</v>
      </c>
      <c r="W1194" s="271">
        <v>2.5308999999999999</v>
      </c>
      <c r="X1194" s="271">
        <v>2.5314000000000001</v>
      </c>
      <c r="Y1194" s="271">
        <v>2.5303</v>
      </c>
      <c r="Z1194" s="273">
        <f ca="1">[1]ExtEntry!$R4</f>
        <v>2.5303</v>
      </c>
      <c r="AB1194" s="341">
        <v>103.54999999999998</v>
      </c>
      <c r="AC1194" s="341">
        <v>121.60000000000011</v>
      </c>
      <c r="AD1194" s="341">
        <v>140.60000000000005</v>
      </c>
      <c r="AE1194" s="341">
        <v>100.69999999999987</v>
      </c>
      <c r="AF1194" s="341">
        <v>100.69999999999987</v>
      </c>
      <c r="AG1194" s="341">
        <v>51.299999999999919</v>
      </c>
      <c r="AH1194" s="341">
        <v>252.70000000000002</v>
      </c>
      <c r="AI1194" s="341">
        <v>210.89999999999989</v>
      </c>
      <c r="AJ1194" s="341">
        <v>248.90000000000009</v>
      </c>
      <c r="AK1194" s="341">
        <v>227.99999999999986</v>
      </c>
      <c r="AL1194" s="341">
        <v>150.09999999999985</v>
      </c>
      <c r="AM1194" s="341">
        <v>110.20000000000002</v>
      </c>
      <c r="AN1194" s="341">
        <v>132.99999999999986</v>
      </c>
      <c r="AO1194" s="341">
        <v>191.89999999999995</v>
      </c>
      <c r="AP1194" s="341">
        <v>220.40000000000003</v>
      </c>
      <c r="AQ1194" s="341">
        <v>212.79999999999984</v>
      </c>
      <c r="AR1194" s="341">
        <v>208.99999999999994</v>
      </c>
      <c r="AS1194" s="341">
        <v>163.39999999999989</v>
      </c>
      <c r="AT1194" s="341">
        <v>266.00000000000006</v>
      </c>
      <c r="AU1194" s="341">
        <v>266.00000000000006</v>
      </c>
      <c r="AV1194" s="341">
        <f ca="1">Calc!W4</f>
        <v>266.00000000000006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1.1161000000000001</v>
      </c>
      <c r="G1195" s="263">
        <v>1.1194999999999999</v>
      </c>
      <c r="H1195" s="263">
        <v>1.1297999999999999</v>
      </c>
      <c r="I1195" s="263">
        <v>1.1213</v>
      </c>
      <c r="J1195" s="263">
        <v>1.1213</v>
      </c>
      <c r="K1195" s="263">
        <v>1.1224000000000001</v>
      </c>
      <c r="L1195" s="263">
        <v>1.1062000000000001</v>
      </c>
      <c r="M1195" s="263">
        <v>1.1062000000000001</v>
      </c>
      <c r="N1195" s="263">
        <v>1.1112</v>
      </c>
      <c r="O1195" s="263">
        <v>1.1115999999999999</v>
      </c>
      <c r="P1195" s="263">
        <v>1.1132</v>
      </c>
      <c r="Q1195" s="263">
        <v>1.1469</v>
      </c>
      <c r="R1195" s="263">
        <v>1.1329</v>
      </c>
      <c r="S1195" s="263">
        <v>1.1329</v>
      </c>
      <c r="T1195" s="263">
        <v>1.1371</v>
      </c>
      <c r="U1195" s="263">
        <v>1.1366000000000001</v>
      </c>
      <c r="V1195" s="263">
        <v>1.1388</v>
      </c>
      <c r="W1195" s="263">
        <v>1.1429</v>
      </c>
      <c r="X1195" s="263">
        <v>1.1475</v>
      </c>
      <c r="Y1195" s="263">
        <v>1.1531</v>
      </c>
      <c r="Z1195" s="265">
        <f ca="1">[1]ExtEntry!$R5</f>
        <v>1.1531</v>
      </c>
      <c r="AB1195" s="341">
        <v>1047.311193</v>
      </c>
      <c r="AC1195" s="341">
        <v>886.20819300000051</v>
      </c>
      <c r="AD1195" s="341">
        <v>930.85119300000122</v>
      </c>
      <c r="AE1195" s="341">
        <v>989.08119300000067</v>
      </c>
      <c r="AF1195" s="341">
        <v>989.08119300000067</v>
      </c>
      <c r="AG1195" s="341">
        <v>853.21119300000009</v>
      </c>
      <c r="AH1195" s="341">
        <v>1416.1011930000011</v>
      </c>
      <c r="AI1195" s="341">
        <v>1474.3311930000004</v>
      </c>
      <c r="AJ1195" s="341">
        <v>1357.8711930000002</v>
      </c>
      <c r="AK1195" s="341">
        <v>1371.9628530000005</v>
      </c>
      <c r="AL1195" s="341">
        <v>1882.7952330000003</v>
      </c>
      <c r="AM1195" s="341">
        <v>2056.6311930000006</v>
      </c>
      <c r="AN1195" s="341">
        <v>1940.1711930000001</v>
      </c>
      <c r="AO1195" s="341">
        <v>1784.8911930000008</v>
      </c>
      <c r="AP1195" s="341">
        <v>2444.8311930000004</v>
      </c>
      <c r="AQ1195" s="341">
        <v>2638.9311930000008</v>
      </c>
      <c r="AR1195" s="341">
        <v>2561.2911930000009</v>
      </c>
      <c r="AS1195" s="341">
        <v>1978.9911930000007</v>
      </c>
      <c r="AT1195" s="341">
        <v>1901.3511930000011</v>
      </c>
      <c r="AU1195" s="341">
        <v>1940.1711930000001</v>
      </c>
      <c r="AV1195" s="341">
        <f ca="1">Calc!W5</f>
        <v>1940.1711930000001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1.3075000000000001</v>
      </c>
      <c r="G1196" s="271">
        <v>1.3092999999999999</v>
      </c>
      <c r="H1196" s="271">
        <v>1.3103</v>
      </c>
      <c r="I1196" s="271">
        <v>1.3104</v>
      </c>
      <c r="J1196" s="271">
        <v>1.3104</v>
      </c>
      <c r="K1196" s="271">
        <v>1.3117000000000001</v>
      </c>
      <c r="L1196" s="271">
        <v>1.3087</v>
      </c>
      <c r="M1196" s="271">
        <v>1.3103</v>
      </c>
      <c r="N1196" s="271">
        <v>1.3088</v>
      </c>
      <c r="O1196" s="271">
        <v>1.3078000000000001</v>
      </c>
      <c r="P1196" s="271">
        <v>1.3091999999999999</v>
      </c>
      <c r="Q1196" s="271">
        <v>1.3091999999999999</v>
      </c>
      <c r="R1196" s="271">
        <v>1.2968</v>
      </c>
      <c r="S1196" s="271">
        <v>1.2971999999999999</v>
      </c>
      <c r="T1196" s="271">
        <v>1.2954000000000001</v>
      </c>
      <c r="U1196" s="271">
        <v>1.2955000000000001</v>
      </c>
      <c r="V1196" s="271">
        <v>1.2950999999999999</v>
      </c>
      <c r="W1196" s="271">
        <v>1.2955000000000001</v>
      </c>
      <c r="X1196" s="271">
        <v>1.2966</v>
      </c>
      <c r="Y1196" s="271">
        <v>1.2957000000000001</v>
      </c>
      <c r="Z1196" s="273">
        <f ca="1">[1]ExtEntry!$R6</f>
        <v>1.2957000000000001</v>
      </c>
      <c r="AB1196" s="341">
        <v>31866.399999999998</v>
      </c>
      <c r="AC1196" s="341">
        <v>33120.000000000007</v>
      </c>
      <c r="AD1196" s="341">
        <v>30359.999999999956</v>
      </c>
      <c r="AE1196" s="341">
        <v>24959.999999999978</v>
      </c>
      <c r="AF1196" s="341">
        <v>24959.999999999978</v>
      </c>
      <c r="AG1196" s="341">
        <v>17579.999999999985</v>
      </c>
      <c r="AH1196" s="341">
        <v>25839.999999999975</v>
      </c>
      <c r="AI1196" s="341">
        <v>27379.999999999996</v>
      </c>
      <c r="AJ1196" s="341">
        <v>28199.999999999989</v>
      </c>
      <c r="AK1196" s="341">
        <v>35054.199999999983</v>
      </c>
      <c r="AL1196" s="341">
        <v>27959.999999999978</v>
      </c>
      <c r="AM1196" s="341">
        <v>14705.799999999954</v>
      </c>
      <c r="AN1196" s="341">
        <v>21919.99999999996</v>
      </c>
      <c r="AO1196" s="341">
        <v>21939.999999999996</v>
      </c>
      <c r="AP1196" s="341">
        <v>41319.999999999993</v>
      </c>
      <c r="AQ1196" s="341">
        <v>41639.999999999985</v>
      </c>
      <c r="AR1196" s="341">
        <v>46440</v>
      </c>
      <c r="AS1196" s="341">
        <v>30620.000000000004</v>
      </c>
      <c r="AT1196" s="341">
        <v>30250</v>
      </c>
      <c r="AU1196" s="341">
        <v>26259.999999999993</v>
      </c>
      <c r="AV1196" s="341">
        <f ca="1">Calc!W6</f>
        <v>26259.999999999993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0.95740000000000003</v>
      </c>
      <c r="G1197" s="263">
        <v>0.96179999999999999</v>
      </c>
      <c r="H1197" s="263">
        <v>0.96650000000000003</v>
      </c>
      <c r="I1197" s="263">
        <v>0.96950000000000003</v>
      </c>
      <c r="J1197" s="263">
        <v>0.96950000000000003</v>
      </c>
      <c r="K1197" s="263">
        <v>0.96679999999999999</v>
      </c>
      <c r="L1197" s="263">
        <v>0.96830000000000005</v>
      </c>
      <c r="M1197" s="263">
        <v>0.96619999999999995</v>
      </c>
      <c r="N1197" s="263">
        <v>0.96450000000000002</v>
      </c>
      <c r="O1197" s="263">
        <v>0.95879999999999999</v>
      </c>
      <c r="P1197" s="263">
        <v>0.96</v>
      </c>
      <c r="Q1197" s="263">
        <v>0.99380000000000002</v>
      </c>
      <c r="R1197" s="263">
        <v>0.99370000000000003</v>
      </c>
      <c r="S1197" s="263">
        <v>0.99370000000000003</v>
      </c>
      <c r="T1197" s="263">
        <v>0.99529999999999996</v>
      </c>
      <c r="U1197" s="263">
        <v>0.99280000000000002</v>
      </c>
      <c r="V1197" s="263">
        <v>0.99419999999999997</v>
      </c>
      <c r="W1197" s="263">
        <v>0.99380000000000002</v>
      </c>
      <c r="X1197" s="263">
        <v>0.99370000000000003</v>
      </c>
      <c r="Y1197" s="263">
        <v>0.99399999999999999</v>
      </c>
      <c r="Z1197" s="265">
        <f ca="1">[1]ExtEntry!$R7</f>
        <v>0.99399999999999999</v>
      </c>
      <c r="AB1197" s="341">
        <v>449.99999999999875</v>
      </c>
      <c r="AC1197" s="341">
        <v>149.99999999999847</v>
      </c>
      <c r="AD1197" s="341">
        <v>449.99999999999875</v>
      </c>
      <c r="AE1197" s="341">
        <v>269.99999999999858</v>
      </c>
      <c r="AF1197" s="341">
        <v>269.99999999999858</v>
      </c>
      <c r="AG1197" s="341">
        <v>149.99999999999847</v>
      </c>
      <c r="AH1197" s="341">
        <v>-180.00000000000017</v>
      </c>
      <c r="AI1197" s="341">
        <v>-300.00000000000028</v>
      </c>
      <c r="AJ1197" s="341">
        <v>-180.00000000000017</v>
      </c>
      <c r="AK1197" s="341">
        <v>-180.00000000000017</v>
      </c>
      <c r="AL1197" s="341">
        <v>-270.00000000000023</v>
      </c>
      <c r="AM1197" s="341">
        <v>-450.0000000000004</v>
      </c>
      <c r="AN1197" s="341">
        <v>-30.000000000000028</v>
      </c>
      <c r="AO1197" s="341">
        <v>-450.0000000000004</v>
      </c>
      <c r="AP1197" s="341">
        <v>-570.00000000000045</v>
      </c>
      <c r="AQ1197" s="341">
        <v>-600.00000000000057</v>
      </c>
      <c r="AR1197" s="341">
        <v>-420.0000000000004</v>
      </c>
      <c r="AS1197" s="341">
        <v>-330.00000000000028</v>
      </c>
      <c r="AT1197" s="341">
        <v>-630.00000000000057</v>
      </c>
      <c r="AU1197" s="341">
        <v>-600.00000000000057</v>
      </c>
      <c r="AV1197" s="341">
        <f ca="1">Calc!W7</f>
        <v>-600.00000000000057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1.8625</v>
      </c>
      <c r="G1198" s="271">
        <v>1.8665</v>
      </c>
      <c r="H1198" s="271">
        <v>1.8663000000000001</v>
      </c>
      <c r="I1198" s="271">
        <v>1.8635999999999999</v>
      </c>
      <c r="J1198" s="271">
        <v>1.8635999999999999</v>
      </c>
      <c r="K1198" s="271">
        <v>1.8638999999999999</v>
      </c>
      <c r="L1198" s="271">
        <v>1.871</v>
      </c>
      <c r="M1198" s="271">
        <v>1.8733</v>
      </c>
      <c r="N1198" s="271">
        <v>1.8727</v>
      </c>
      <c r="O1198" s="271">
        <v>1.8681000000000001</v>
      </c>
      <c r="P1198" s="271">
        <v>1.8695999999999999</v>
      </c>
      <c r="Q1198" s="271">
        <v>1.8656999999999999</v>
      </c>
      <c r="R1198" s="271">
        <v>1.8684000000000001</v>
      </c>
      <c r="S1198" s="271">
        <v>1.8684000000000001</v>
      </c>
      <c r="T1198" s="271">
        <v>1.8594999999999999</v>
      </c>
      <c r="U1198" s="271">
        <v>1.8642000000000001</v>
      </c>
      <c r="V1198" s="271">
        <v>1.8617999999999999</v>
      </c>
      <c r="W1198" s="271">
        <v>1.8655999999999999</v>
      </c>
      <c r="X1198" s="271">
        <v>1.8671</v>
      </c>
      <c r="Y1198" s="271">
        <v>1.8632</v>
      </c>
      <c r="Z1198" s="273">
        <f ca="1">[1]ExtEntry!$R8</f>
        <v>1.8632</v>
      </c>
      <c r="AB1198" s="341">
        <v>21800.000000000011</v>
      </c>
      <c r="AC1198" s="341">
        <v>18800.000000000011</v>
      </c>
      <c r="AD1198" s="341">
        <v>18150.000000000033</v>
      </c>
      <c r="AE1198" s="341">
        <v>21500</v>
      </c>
      <c r="AF1198" s="341">
        <v>21500</v>
      </c>
      <c r="AG1198" s="341">
        <v>19450.000000000044</v>
      </c>
      <c r="AH1198" s="341">
        <v>23700.000000000044</v>
      </c>
      <c r="AI1198" s="341">
        <v>25650.000000000033</v>
      </c>
      <c r="AJ1198" s="341">
        <v>30450.000000000044</v>
      </c>
      <c r="AK1198" s="341">
        <v>27600.000000000022</v>
      </c>
      <c r="AL1198" s="341">
        <v>18250</v>
      </c>
      <c r="AM1198" s="341">
        <v>-2600.0000000000227</v>
      </c>
      <c r="AN1198" s="341">
        <v>3949.9999999999886</v>
      </c>
      <c r="AO1198" s="341">
        <v>5599.9999999999654</v>
      </c>
      <c r="AP1198" s="341">
        <v>20149.999999999978</v>
      </c>
      <c r="AQ1198" s="341">
        <v>27199.999999999989</v>
      </c>
      <c r="AR1198" s="341">
        <v>30500</v>
      </c>
      <c r="AS1198" s="341">
        <v>29000</v>
      </c>
      <c r="AT1198" s="341">
        <v>31899.999999999978</v>
      </c>
      <c r="AU1198" s="341">
        <v>33799.999999999956</v>
      </c>
      <c r="AV1198" s="341">
        <f ca="1">Calc!W8</f>
        <v>33799.999999999956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0.38250000000000001</v>
      </c>
      <c r="G1199" s="271">
        <v>0.3831</v>
      </c>
      <c r="H1199" s="271">
        <v>0.3821</v>
      </c>
      <c r="I1199" s="271">
        <v>0.3821</v>
      </c>
      <c r="J1199" s="271">
        <v>0.3821</v>
      </c>
      <c r="K1199" s="271">
        <v>0.37859999999999999</v>
      </c>
      <c r="L1199" s="271">
        <v>0.38540000000000002</v>
      </c>
      <c r="M1199" s="271">
        <v>0.38140000000000002</v>
      </c>
      <c r="N1199" s="271">
        <v>0.38440000000000002</v>
      </c>
      <c r="O1199" s="271">
        <v>0.38579999999999998</v>
      </c>
      <c r="P1199" s="271">
        <v>0.38369999999999999</v>
      </c>
      <c r="Q1199" s="271">
        <v>0.38369999999999999</v>
      </c>
      <c r="R1199" s="271">
        <v>0.37919999999999998</v>
      </c>
      <c r="S1199" s="271">
        <v>0.37919999999999998</v>
      </c>
      <c r="T1199" s="271">
        <v>0.37880000000000003</v>
      </c>
      <c r="U1199" s="271">
        <v>0.37840000000000001</v>
      </c>
      <c r="V1199" s="271">
        <v>0.37880000000000003</v>
      </c>
      <c r="W1199" s="271">
        <v>0.37930000000000003</v>
      </c>
      <c r="X1199" s="271">
        <v>0.37959999999999999</v>
      </c>
      <c r="Y1199" s="271">
        <v>0.37990000000000002</v>
      </c>
      <c r="Z1199" s="273">
        <f ca="1">[1]ExtEntry!$R9</f>
        <v>0.37990000000000002</v>
      </c>
      <c r="AB1199" s="341">
        <v>25139.999999999985</v>
      </c>
      <c r="AC1199" s="341">
        <v>26475.000000000007</v>
      </c>
      <c r="AD1199" s="341">
        <v>28938.899999999991</v>
      </c>
      <c r="AE1199" s="341">
        <v>9729.9999999999891</v>
      </c>
      <c r="AF1199" s="341">
        <v>9729.9999999999891</v>
      </c>
      <c r="AG1199" s="341">
        <v>10679.999999999993</v>
      </c>
      <c r="AH1199" s="341">
        <v>9819.9999999999927</v>
      </c>
      <c r="AI1199" s="341">
        <v>10209.999999999995</v>
      </c>
      <c r="AJ1199" s="341">
        <v>10090.000000000004</v>
      </c>
      <c r="AK1199" s="341">
        <v>9819.9999999999927</v>
      </c>
      <c r="AL1199" s="341">
        <v>10060.000000000002</v>
      </c>
      <c r="AM1199" s="341">
        <v>9700.0000000000036</v>
      </c>
      <c r="AN1199" s="341">
        <v>11780.000000000002</v>
      </c>
      <c r="AO1199" s="341">
        <v>12269.999999999996</v>
      </c>
      <c r="AP1199" s="341">
        <v>11939.999999999998</v>
      </c>
      <c r="AQ1199" s="341">
        <v>11719.999999999998</v>
      </c>
      <c r="AR1199" s="341">
        <v>11379.999999999996</v>
      </c>
      <c r="AS1199" s="341">
        <v>10969.999999999998</v>
      </c>
      <c r="AT1199" s="341">
        <v>11325.000000000004</v>
      </c>
      <c r="AU1199" s="341">
        <v>9719.9999999999982</v>
      </c>
      <c r="AV1199" s="341">
        <f ca="1">Calc!W9</f>
        <v>9719.9999999999982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1.7562</v>
      </c>
      <c r="G1200" s="271">
        <v>1.7543</v>
      </c>
      <c r="H1200" s="271">
        <v>1.7715000000000001</v>
      </c>
      <c r="I1200" s="271">
        <v>1.7712000000000001</v>
      </c>
      <c r="J1200" s="271">
        <v>1.7712000000000001</v>
      </c>
      <c r="K1200" s="271">
        <v>1.7665</v>
      </c>
      <c r="L1200" s="271">
        <v>1.7774000000000001</v>
      </c>
      <c r="M1200" s="271">
        <v>1.7816000000000001</v>
      </c>
      <c r="N1200" s="271">
        <v>1.7879</v>
      </c>
      <c r="O1200" s="271">
        <v>1.7816000000000001</v>
      </c>
      <c r="P1200" s="271">
        <v>1.7754000000000001</v>
      </c>
      <c r="Q1200" s="271">
        <v>1.7754000000000001</v>
      </c>
      <c r="R1200" s="271">
        <v>1.7788999999999999</v>
      </c>
      <c r="S1200" s="271">
        <v>1.7788999999999999</v>
      </c>
      <c r="T1200" s="271">
        <v>1.7806999999999999</v>
      </c>
      <c r="U1200" s="271">
        <v>1.7793000000000001</v>
      </c>
      <c r="V1200" s="271">
        <v>1.7773000000000001</v>
      </c>
      <c r="W1200" s="271">
        <v>1.7765</v>
      </c>
      <c r="X1200" s="271">
        <v>1.7774000000000001</v>
      </c>
      <c r="Y1200" s="271">
        <v>1.7826</v>
      </c>
      <c r="Z1200" s="273">
        <f ca="1">[1]ExtEntry!$R10</f>
        <v>1.7826</v>
      </c>
      <c r="AB1200" s="341">
        <v>-6390.0000000000009</v>
      </c>
      <c r="AC1200" s="341">
        <v>-5824.2000000000007</v>
      </c>
      <c r="AD1200" s="341">
        <v>-5280.0000000000009</v>
      </c>
      <c r="AE1200" s="341">
        <v>-5430</v>
      </c>
      <c r="AF1200" s="341">
        <v>-5430</v>
      </c>
      <c r="AG1200" s="341">
        <v>-5700.0000000000009</v>
      </c>
      <c r="AH1200" s="341">
        <v>-5040.0000000000018</v>
      </c>
      <c r="AI1200" s="341">
        <v>-4740</v>
      </c>
      <c r="AJ1200" s="341">
        <v>-4980</v>
      </c>
      <c r="AK1200" s="341">
        <v>-4807.7999999999993</v>
      </c>
      <c r="AL1200" s="341">
        <v>-4980</v>
      </c>
      <c r="AM1200" s="341">
        <v>-5820.0000000000009</v>
      </c>
      <c r="AN1200" s="341">
        <v>-5700.6000000000013</v>
      </c>
      <c r="AO1200" s="341">
        <v>-5760.0000000000009</v>
      </c>
      <c r="AP1200" s="341">
        <v>-6000</v>
      </c>
      <c r="AQ1200" s="341">
        <v>-5460.0000000000009</v>
      </c>
      <c r="AR1200" s="341">
        <v>-5760.0000000000009</v>
      </c>
      <c r="AS1200" s="341">
        <v>-5520.0000000000009</v>
      </c>
      <c r="AT1200" s="341">
        <v>-4890</v>
      </c>
      <c r="AU1200" s="341">
        <v>-4680.0000000000018</v>
      </c>
      <c r="AV1200" s="341">
        <f ca="1">Calc!W10</f>
        <v>-4680.0000000000018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0.34870000000000001</v>
      </c>
      <c r="G1201" s="271">
        <v>0.35820000000000002</v>
      </c>
      <c r="H1201" s="271">
        <v>0.35049999999999998</v>
      </c>
      <c r="I1201" s="271">
        <v>0.34910000000000002</v>
      </c>
      <c r="J1201" s="271">
        <v>0.34910000000000002</v>
      </c>
      <c r="K1201" s="271">
        <v>0.3503</v>
      </c>
      <c r="L1201" s="271">
        <v>0.35709999999999997</v>
      </c>
      <c r="M1201" s="271">
        <v>0.35339999999999999</v>
      </c>
      <c r="N1201" s="271">
        <v>0.35310000000000002</v>
      </c>
      <c r="O1201" s="271">
        <v>0.35</v>
      </c>
      <c r="P1201" s="271">
        <v>0.3498</v>
      </c>
      <c r="Q1201" s="271">
        <v>0.3498</v>
      </c>
      <c r="R1201" s="271">
        <v>0.35070000000000001</v>
      </c>
      <c r="S1201" s="271">
        <v>0.35070000000000001</v>
      </c>
      <c r="T1201" s="271">
        <v>0.35260000000000002</v>
      </c>
      <c r="U1201" s="271">
        <v>0.35589999999999999</v>
      </c>
      <c r="V1201" s="271">
        <v>0.35160000000000002</v>
      </c>
      <c r="W1201" s="271">
        <v>0.3508</v>
      </c>
      <c r="X1201" s="271">
        <v>0.34970000000000001</v>
      </c>
      <c r="Y1201" s="271">
        <v>0.34739999999999999</v>
      </c>
      <c r="Z1201" s="273">
        <f ca="1">[1]ExtEntry!$R11</f>
        <v>0.34739999999999999</v>
      </c>
      <c r="AB1201" s="341">
        <v>-113370</v>
      </c>
      <c r="AC1201" s="341">
        <v>-119870.00000000001</v>
      </c>
      <c r="AD1201" s="341">
        <v>-119744.99999999999</v>
      </c>
      <c r="AE1201" s="341">
        <v>-120744.99999999999</v>
      </c>
      <c r="AF1201" s="341">
        <v>-120744.99999999999</v>
      </c>
      <c r="AG1201" s="341">
        <v>-118869.99999999999</v>
      </c>
      <c r="AH1201" s="341">
        <v>-116120</v>
      </c>
      <c r="AI1201" s="341">
        <v>-117870.00000000001</v>
      </c>
      <c r="AJ1201" s="341">
        <v>-119620</v>
      </c>
      <c r="AK1201" s="341">
        <v>-118495</v>
      </c>
      <c r="AL1201" s="341">
        <v>-119870.00000000001</v>
      </c>
      <c r="AM1201" s="341">
        <v>-120869.99999999999</v>
      </c>
      <c r="AN1201" s="341">
        <v>-122995.00000000001</v>
      </c>
      <c r="AO1201" s="341">
        <v>-123370</v>
      </c>
      <c r="AP1201" s="341">
        <v>-123745</v>
      </c>
      <c r="AQ1201" s="341">
        <v>-122620</v>
      </c>
      <c r="AR1201" s="341">
        <v>-122620</v>
      </c>
      <c r="AS1201" s="341">
        <v>-122370</v>
      </c>
      <c r="AT1201" s="341">
        <v>-121869.99999999999</v>
      </c>
      <c r="AU1201" s="341">
        <v>-121744.99999999999</v>
      </c>
      <c r="AV1201" s="341">
        <f ca="1">Calc!W11</f>
        <v>-121744.99999999999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1.3982000000000001</v>
      </c>
      <c r="G1202" s="271">
        <v>1.3987000000000001</v>
      </c>
      <c r="H1202" s="271">
        <v>1.3974</v>
      </c>
      <c r="I1202" s="271">
        <v>1.3985000000000001</v>
      </c>
      <c r="J1202" s="271">
        <v>1.3985000000000001</v>
      </c>
      <c r="K1202" s="271">
        <v>1.3994</v>
      </c>
      <c r="L1202" s="271">
        <v>1.3986000000000001</v>
      </c>
      <c r="M1202" s="271">
        <v>1.3991</v>
      </c>
      <c r="N1202" s="271">
        <v>1.399</v>
      </c>
      <c r="O1202" s="271">
        <v>1.3996999999999999</v>
      </c>
      <c r="P1202" s="271">
        <v>1.3996999999999999</v>
      </c>
      <c r="Q1202" s="271">
        <v>1.3996999999999999</v>
      </c>
      <c r="R1202" s="271">
        <v>1.3589</v>
      </c>
      <c r="S1202" s="271">
        <v>1.3589</v>
      </c>
      <c r="T1202" s="271">
        <v>1.3574999999999999</v>
      </c>
      <c r="U1202" s="271">
        <v>1.3585</v>
      </c>
      <c r="V1202" s="271">
        <v>1.3581000000000001</v>
      </c>
      <c r="W1202" s="271">
        <v>1.3573999999999999</v>
      </c>
      <c r="X1202" s="271">
        <v>1.3573</v>
      </c>
      <c r="Y1202" s="271">
        <v>1.357</v>
      </c>
      <c r="Z1202" s="273">
        <f ca="1">[1]ExtEntry!$R12</f>
        <v>1.357</v>
      </c>
      <c r="AB1202" s="341">
        <v>3169.4999999999991</v>
      </c>
      <c r="AC1202" s="341">
        <v>3142</v>
      </c>
      <c r="AD1202" s="341">
        <v>3115.9999999999995</v>
      </c>
      <c r="AE1202" s="341">
        <v>3074.5000000000005</v>
      </c>
      <c r="AF1202" s="341">
        <v>3074.5000000000005</v>
      </c>
      <c r="AG1202" s="341">
        <v>3038.5000000000005</v>
      </c>
      <c r="AH1202" s="341">
        <v>3220.9999999999995</v>
      </c>
      <c r="AI1202" s="341">
        <v>3298.0000000000005</v>
      </c>
      <c r="AJ1202" s="341">
        <v>3415.0000000000005</v>
      </c>
      <c r="AK1202" s="341">
        <v>3423.9999999999995</v>
      </c>
      <c r="AL1202" s="341">
        <v>3381.9999999999991</v>
      </c>
      <c r="AM1202" s="341">
        <v>3090.5</v>
      </c>
      <c r="AN1202" s="341">
        <v>3197</v>
      </c>
      <c r="AO1202" s="341">
        <v>3228</v>
      </c>
      <c r="AP1202" s="341">
        <v>3433</v>
      </c>
      <c r="AQ1202" s="341">
        <v>3315.9999999999995</v>
      </c>
      <c r="AR1202" s="341">
        <v>3456.9999999999991</v>
      </c>
      <c r="AS1202" s="341">
        <v>172.17500000000001</v>
      </c>
      <c r="AT1202" s="341">
        <v>180.12500000000003</v>
      </c>
      <c r="AU1202" s="341">
        <v>183.65000000000003</v>
      </c>
      <c r="AV1202" s="341">
        <f ca="1">Calc!W12</f>
        <v>183.65000000000003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0.98750000000000004</v>
      </c>
      <c r="G1203" s="271">
        <v>0.98640000000000005</v>
      </c>
      <c r="H1203" s="271">
        <v>0.98429999999999995</v>
      </c>
      <c r="I1203" s="271">
        <v>0.9849</v>
      </c>
      <c r="J1203" s="271">
        <v>0.9849</v>
      </c>
      <c r="K1203" s="271">
        <v>0.98640000000000005</v>
      </c>
      <c r="L1203" s="271">
        <v>0.98429999999999995</v>
      </c>
      <c r="M1203" s="271">
        <v>0.98540000000000005</v>
      </c>
      <c r="N1203" s="271">
        <v>0.98550000000000004</v>
      </c>
      <c r="O1203" s="271">
        <v>0.98499999999999999</v>
      </c>
      <c r="P1203" s="271">
        <v>0.98629999999999995</v>
      </c>
      <c r="Q1203" s="271">
        <v>0.98629999999999995</v>
      </c>
      <c r="R1203" s="271">
        <v>0.97640000000000005</v>
      </c>
      <c r="S1203" s="271">
        <v>0.97670000000000001</v>
      </c>
      <c r="T1203" s="271">
        <v>0.97560000000000002</v>
      </c>
      <c r="U1203" s="271">
        <v>0.97709999999999997</v>
      </c>
      <c r="V1203" s="271">
        <v>0.97660000000000002</v>
      </c>
      <c r="W1203" s="271">
        <v>0.97570000000000001</v>
      </c>
      <c r="X1203" s="271">
        <v>0.9748</v>
      </c>
      <c r="Y1203" s="271">
        <v>0.97219999999999995</v>
      </c>
      <c r="Z1203" s="273">
        <f ca="1">[1]ExtEntry!$R13</f>
        <v>0.97219999999999995</v>
      </c>
      <c r="AB1203" s="341">
        <v>10509.999999999991</v>
      </c>
      <c r="AC1203" s="341">
        <v>8116</v>
      </c>
      <c r="AD1203" s="341">
        <v>7524.9999999999918</v>
      </c>
      <c r="AE1203" s="341">
        <v>7942.7999999999911</v>
      </c>
      <c r="AF1203" s="341">
        <v>7942.7999999999911</v>
      </c>
      <c r="AG1203" s="341">
        <v>8174.9999999999973</v>
      </c>
      <c r="AH1203" s="341">
        <v>8204.9999999999982</v>
      </c>
      <c r="AI1203" s="341">
        <v>9454.9999999999982</v>
      </c>
      <c r="AJ1203" s="341">
        <v>9504.9999999999964</v>
      </c>
      <c r="AK1203" s="341">
        <v>9840.0000000000036</v>
      </c>
      <c r="AL1203" s="341">
        <v>10155.000000000002</v>
      </c>
      <c r="AM1203" s="341">
        <v>8914.9999999999927</v>
      </c>
      <c r="AN1203" s="341">
        <v>8659.9999999999964</v>
      </c>
      <c r="AO1203" s="341">
        <v>8735</v>
      </c>
      <c r="AP1203" s="341">
        <v>9054.9999999999927</v>
      </c>
      <c r="AQ1203" s="341">
        <v>7944.9999999999927</v>
      </c>
      <c r="AR1203" s="341">
        <v>8405.0000000000018</v>
      </c>
      <c r="AS1203" s="341">
        <v>9195.9999999999982</v>
      </c>
      <c r="AT1203" s="341">
        <v>8840.0000000000036</v>
      </c>
      <c r="AU1203" s="341">
        <v>7594.9999999999991</v>
      </c>
      <c r="AV1203" s="341">
        <f ca="1">Calc!W13</f>
        <v>7594.9999999999991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0.61609999999999998</v>
      </c>
      <c r="G1204" s="271">
        <v>0.61719999999999997</v>
      </c>
      <c r="H1204" s="271">
        <v>0.61939999999999995</v>
      </c>
      <c r="I1204" s="271">
        <v>0.61839999999999995</v>
      </c>
      <c r="J1204" s="271">
        <v>0.61839999999999995</v>
      </c>
      <c r="K1204" s="271">
        <v>0.61270000000000002</v>
      </c>
      <c r="L1204" s="271">
        <v>0.62229999999999996</v>
      </c>
      <c r="M1204" s="271">
        <v>0.61760000000000004</v>
      </c>
      <c r="N1204" s="271">
        <v>0.62239999999999995</v>
      </c>
      <c r="O1204" s="271">
        <v>0.62549999999999994</v>
      </c>
      <c r="P1204" s="271">
        <v>0.623</v>
      </c>
      <c r="Q1204" s="271">
        <v>0.623</v>
      </c>
      <c r="R1204" s="271">
        <v>0.60570000000000002</v>
      </c>
      <c r="S1204" s="271">
        <v>0.60570000000000002</v>
      </c>
      <c r="T1204" s="271">
        <v>0.60809999999999997</v>
      </c>
      <c r="U1204" s="271">
        <v>0.60780000000000001</v>
      </c>
      <c r="V1204" s="271">
        <v>0.61060000000000003</v>
      </c>
      <c r="W1204" s="271">
        <v>0.60899999999999999</v>
      </c>
      <c r="X1204" s="271">
        <v>0.60819999999999996</v>
      </c>
      <c r="Y1204" s="271">
        <v>0.60870000000000002</v>
      </c>
      <c r="Z1204" s="273">
        <f ca="1">[1]ExtEntry!$R14</f>
        <v>0.60870000000000002</v>
      </c>
      <c r="AB1204" s="341">
        <v>2595.9524999999994</v>
      </c>
      <c r="AC1204" s="341">
        <v>3135.9524999999985</v>
      </c>
      <c r="AD1204" s="341">
        <v>3675.9525000000012</v>
      </c>
      <c r="AE1204" s="341">
        <v>3688.4525000000003</v>
      </c>
      <c r="AF1204" s="341">
        <v>3688.4525000000003</v>
      </c>
      <c r="AG1204" s="341">
        <v>3690.9524999999981</v>
      </c>
      <c r="AH1204" s="341">
        <v>3787.2024999999994</v>
      </c>
      <c r="AI1204" s="341">
        <v>3873.452499999999</v>
      </c>
      <c r="AJ1204" s="341">
        <v>3963.452499999999</v>
      </c>
      <c r="AK1204" s="341">
        <v>3898.4525000000012</v>
      </c>
      <c r="AL1204" s="341">
        <v>4273.4525000000012</v>
      </c>
      <c r="AM1204" s="341">
        <v>4508.4525000000003</v>
      </c>
      <c r="AN1204" s="341">
        <v>4343.4525000000012</v>
      </c>
      <c r="AO1204" s="341">
        <v>4315.9524999999985</v>
      </c>
      <c r="AP1204" s="341">
        <v>4408.4524999999994</v>
      </c>
      <c r="AQ1204" s="341">
        <v>3550.9525000000012</v>
      </c>
      <c r="AR1204" s="341">
        <v>3920.9524999999985</v>
      </c>
      <c r="AS1204" s="341">
        <v>4480.9525000000012</v>
      </c>
      <c r="AT1204" s="341">
        <v>4654.7024999999994</v>
      </c>
      <c r="AU1204" s="341">
        <v>4733.4524999999985</v>
      </c>
      <c r="AV1204" s="341">
        <f ca="1">Calc!W14</f>
        <v>4733.4524999999985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2.0981999999999998</v>
      </c>
      <c r="G1205" s="271">
        <v>2.0884999999999998</v>
      </c>
      <c r="H1205" s="271">
        <v>2.0867</v>
      </c>
      <c r="I1205" s="271">
        <v>2.0830000000000002</v>
      </c>
      <c r="J1205" s="271">
        <v>2.0830000000000002</v>
      </c>
      <c r="K1205" s="271">
        <v>2.0712999999999999</v>
      </c>
      <c r="L1205" s="271">
        <v>2.0884999999999998</v>
      </c>
      <c r="M1205" s="271">
        <v>2.0821000000000001</v>
      </c>
      <c r="N1205" s="271">
        <v>2.0903</v>
      </c>
      <c r="O1205" s="271">
        <v>2.1173999999999999</v>
      </c>
      <c r="P1205" s="271">
        <v>2.0941999999999998</v>
      </c>
      <c r="Q1205" s="271">
        <v>2.0941999999999998</v>
      </c>
      <c r="R1205" s="271">
        <v>2.0888</v>
      </c>
      <c r="S1205" s="271">
        <v>2.0888</v>
      </c>
      <c r="T1205" s="271">
        <v>2.0880000000000001</v>
      </c>
      <c r="U1205" s="271">
        <v>2.0886</v>
      </c>
      <c r="V1205" s="271">
        <v>2.0861000000000001</v>
      </c>
      <c r="W1205" s="271">
        <v>2.0857000000000001</v>
      </c>
      <c r="X1205" s="271">
        <v>2.0830000000000002</v>
      </c>
      <c r="Y1205" s="271">
        <v>2.0779999999999998</v>
      </c>
      <c r="Z1205" s="273">
        <f ca="1">[1]ExtEntry!$R15</f>
        <v>2.0779999999999998</v>
      </c>
      <c r="AB1205" s="341">
        <v>3000.0000000000027</v>
      </c>
      <c r="AC1205" s="341">
        <v>3602.0000000000032</v>
      </c>
      <c r="AD1205" s="341">
        <v>1999.9999999999973</v>
      </c>
      <c r="AE1205" s="341">
        <v>1500.0000000000036</v>
      </c>
      <c r="AF1205" s="341">
        <v>1500.0000000000036</v>
      </c>
      <c r="AG1205" s="341">
        <v>1200.0000000000011</v>
      </c>
      <c r="AH1205" s="341">
        <v>5299.9999999999982</v>
      </c>
      <c r="AI1205" s="341">
        <v>4700.0000000000018</v>
      </c>
      <c r="AJ1205" s="341">
        <v>13100</v>
      </c>
      <c r="AK1205" s="341">
        <v>10284</v>
      </c>
      <c r="AL1205" s="341">
        <v>7799.9999999999982</v>
      </c>
      <c r="AM1205" s="341">
        <v>5900.0000000000027</v>
      </c>
      <c r="AN1205" s="341">
        <v>4205.9999999999982</v>
      </c>
      <c r="AO1205" s="341">
        <v>2799.9999999999982</v>
      </c>
      <c r="AP1205" s="341">
        <v>2799.9999999999982</v>
      </c>
      <c r="AQ1205" s="341">
        <v>5200</v>
      </c>
      <c r="AR1205" s="341">
        <v>3800.0000000000032</v>
      </c>
      <c r="AS1205" s="341">
        <v>4200.0000000000036</v>
      </c>
      <c r="AT1205" s="341">
        <v>6800.0000000000018</v>
      </c>
      <c r="AU1205" s="341">
        <v>6300.0000000000036</v>
      </c>
      <c r="AV1205" s="341">
        <f ca="1">Calc!W15</f>
        <v>6300.0000000000036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1.5472999999999999</v>
      </c>
      <c r="G1206" s="271">
        <v>1.5469999999999999</v>
      </c>
      <c r="H1206" s="271">
        <v>1.5465</v>
      </c>
      <c r="I1206" s="271">
        <v>1.5483</v>
      </c>
      <c r="J1206" s="271">
        <v>1.5483</v>
      </c>
      <c r="K1206" s="271">
        <v>1.55</v>
      </c>
      <c r="L1206" s="271">
        <v>1.5486</v>
      </c>
      <c r="M1206" s="271">
        <v>1.5491999999999999</v>
      </c>
      <c r="N1206" s="271">
        <v>1.548</v>
      </c>
      <c r="O1206" s="271">
        <v>1.5474000000000001</v>
      </c>
      <c r="P1206" s="271">
        <v>1.5486</v>
      </c>
      <c r="Q1206" s="271">
        <v>1.5486</v>
      </c>
      <c r="R1206" s="271">
        <v>1.5516000000000001</v>
      </c>
      <c r="S1206" s="271">
        <v>1.5516000000000001</v>
      </c>
      <c r="T1206" s="271">
        <v>1.5549999999999999</v>
      </c>
      <c r="U1206" s="271">
        <v>1.5549999999999999</v>
      </c>
      <c r="V1206" s="271">
        <v>1.5548</v>
      </c>
      <c r="W1206" s="271">
        <v>1.5556000000000001</v>
      </c>
      <c r="X1206" s="271">
        <v>1.5556000000000001</v>
      </c>
      <c r="Y1206" s="271">
        <v>1.5537000000000001</v>
      </c>
      <c r="Z1206" s="273">
        <f ca="1">[1]ExtEntry!$R16</f>
        <v>1.5537000000000001</v>
      </c>
      <c r="AB1206" s="341">
        <v>1384.9999999999995</v>
      </c>
      <c r="AC1206" s="341">
        <v>1418.9999999999998</v>
      </c>
      <c r="AD1206" s="341">
        <v>1412.9999999999995</v>
      </c>
      <c r="AE1206" s="341">
        <v>1372.9999999999991</v>
      </c>
      <c r="AF1206" s="341">
        <v>1372.9999999999991</v>
      </c>
      <c r="AG1206" s="341">
        <v>1556.0000000000002</v>
      </c>
      <c r="AH1206" s="341">
        <v>1691.9999999999986</v>
      </c>
      <c r="AI1206" s="341">
        <v>1674.0000000000009</v>
      </c>
      <c r="AJ1206" s="341">
        <v>1757.9999999999984</v>
      </c>
      <c r="AK1206" s="341">
        <v>1559.9999999999995</v>
      </c>
      <c r="AL1206" s="341">
        <v>1819.9999999999989</v>
      </c>
      <c r="AM1206" s="341">
        <v>1502.0000000000009</v>
      </c>
      <c r="AN1206" s="341">
        <v>1472</v>
      </c>
      <c r="AO1206" s="341">
        <v>1619.9999999999989</v>
      </c>
      <c r="AP1206" s="341">
        <v>1906.0000000000002</v>
      </c>
      <c r="AQ1206" s="341">
        <v>1912.0000000000005</v>
      </c>
      <c r="AR1206" s="341">
        <v>1615.9999999999995</v>
      </c>
      <c r="AS1206" s="341">
        <v>-62.000000000000455</v>
      </c>
      <c r="AT1206" s="341">
        <v>998.00000000000182</v>
      </c>
      <c r="AU1206" s="341">
        <v>58.000000000004093</v>
      </c>
      <c r="AV1206" s="341">
        <f ca="1">Calc!W16</f>
        <v>58.000000000004093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0.67210000000000003</v>
      </c>
      <c r="G1207" s="271">
        <v>0.66920000000000002</v>
      </c>
      <c r="H1207" s="271">
        <v>0.66469999999999996</v>
      </c>
      <c r="I1207" s="271">
        <v>0.6603</v>
      </c>
      <c r="J1207" s="271">
        <v>0.6603</v>
      </c>
      <c r="K1207" s="271">
        <v>0.66390000000000005</v>
      </c>
      <c r="L1207" s="271">
        <v>0.66039999999999999</v>
      </c>
      <c r="M1207" s="271">
        <v>0.65659999999999996</v>
      </c>
      <c r="N1207" s="271">
        <v>0.66649999999999998</v>
      </c>
      <c r="O1207" s="271">
        <v>0.67410000000000003</v>
      </c>
      <c r="P1207" s="271">
        <v>0.67210000000000003</v>
      </c>
      <c r="Q1207" s="271">
        <v>0.68600000000000005</v>
      </c>
      <c r="R1207" s="271">
        <v>0.68620000000000003</v>
      </c>
      <c r="S1207" s="271">
        <v>0.68620000000000003</v>
      </c>
      <c r="T1207" s="271">
        <v>0.6855</v>
      </c>
      <c r="U1207" s="271">
        <v>0.68440000000000001</v>
      </c>
      <c r="V1207" s="271">
        <v>0.68240000000000001</v>
      </c>
      <c r="W1207" s="271">
        <v>0.68489999999999995</v>
      </c>
      <c r="X1207" s="271">
        <v>0.68530000000000002</v>
      </c>
      <c r="Y1207" s="271">
        <v>0.68569999999999998</v>
      </c>
      <c r="Z1207" s="273">
        <f ca="1">[1]ExtEntry!$R17</f>
        <v>0.68569999999999998</v>
      </c>
      <c r="AB1207" s="341">
        <v>0</v>
      </c>
      <c r="AC1207" s="341">
        <v>699.99999999999568</v>
      </c>
      <c r="AD1207" s="341">
        <v>119.99999999999744</v>
      </c>
      <c r="AE1207" s="341">
        <v>719.99999999999886</v>
      </c>
      <c r="AF1207" s="341">
        <v>719.99999999999886</v>
      </c>
      <c r="AG1207" s="341">
        <v>1299.9999999999973</v>
      </c>
      <c r="AH1207" s="341">
        <v>299.99999999999716</v>
      </c>
      <c r="AI1207" s="341">
        <v>-380.00000000000256</v>
      </c>
      <c r="AJ1207" s="341">
        <v>399.99999999999858</v>
      </c>
      <c r="AK1207" s="341">
        <v>679.99999999999977</v>
      </c>
      <c r="AL1207" s="341">
        <v>100.00000000000142</v>
      </c>
      <c r="AM1207" s="341">
        <v>-600.00000000000136</v>
      </c>
      <c r="AN1207" s="341">
        <v>-380.00000000000256</v>
      </c>
      <c r="AO1207" s="341">
        <v>-160.00000000000369</v>
      </c>
      <c r="AP1207" s="341">
        <v>439.99999999999773</v>
      </c>
      <c r="AQ1207" s="341">
        <v>1479.9999999999968</v>
      </c>
      <c r="AR1207" s="341">
        <v>2379.9999999999955</v>
      </c>
      <c r="AS1207" s="341">
        <v>1439.9999999999977</v>
      </c>
      <c r="AT1207" s="341">
        <v>1299.9999999999973</v>
      </c>
      <c r="AU1207" s="341">
        <v>1839.9999999999964</v>
      </c>
      <c r="AV1207" s="341">
        <f ca="1">Calc!W17</f>
        <v>1839.9999999999964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1.1232</v>
      </c>
      <c r="G1208" s="271">
        <v>1.1229</v>
      </c>
      <c r="H1208" s="271">
        <v>1.1234</v>
      </c>
      <c r="I1208" s="271">
        <v>1.1242000000000001</v>
      </c>
      <c r="J1208" s="271">
        <v>1.1242000000000001</v>
      </c>
      <c r="K1208" s="271">
        <v>1.1275999999999999</v>
      </c>
      <c r="L1208" s="271">
        <v>1.1259999999999999</v>
      </c>
      <c r="M1208" s="271">
        <v>1.1262000000000001</v>
      </c>
      <c r="N1208" s="271">
        <v>1.1252</v>
      </c>
      <c r="O1208" s="271">
        <v>1.1235999999999999</v>
      </c>
      <c r="P1208" s="271">
        <v>1.1251</v>
      </c>
      <c r="Q1208" s="271">
        <v>1.1251</v>
      </c>
      <c r="R1208" s="271">
        <v>1.1378999999999999</v>
      </c>
      <c r="S1208" s="271">
        <v>1.1378999999999999</v>
      </c>
      <c r="T1208" s="271">
        <v>1.1393</v>
      </c>
      <c r="U1208" s="271">
        <v>1.1385000000000001</v>
      </c>
      <c r="V1208" s="271">
        <v>1.1398999999999999</v>
      </c>
      <c r="W1208" s="271">
        <v>1.1388</v>
      </c>
      <c r="X1208" s="271">
        <v>1.1387</v>
      </c>
      <c r="Y1208" s="271">
        <v>1.135</v>
      </c>
      <c r="Z1208" s="273">
        <f ca="1">[1]ExtEntry!$R18</f>
        <v>1.135</v>
      </c>
      <c r="AB1208" s="341">
        <v>-6771.6000000000031</v>
      </c>
      <c r="AC1208" s="341">
        <v>-5014.3499999999976</v>
      </c>
      <c r="AD1208" s="341">
        <v>-3979.8000000000102</v>
      </c>
      <c r="AE1208" s="341">
        <v>-3920.4000000000078</v>
      </c>
      <c r="AF1208" s="341">
        <v>-3920.4000000000078</v>
      </c>
      <c r="AG1208" s="341">
        <v>-2593.8000000000047</v>
      </c>
      <c r="AH1208" s="341">
        <v>-2732.399999999991</v>
      </c>
      <c r="AI1208" s="341">
        <v>-1395.8999999999967</v>
      </c>
      <c r="AJ1208" s="341">
        <v>-2504.7000000000012</v>
      </c>
      <c r="AK1208" s="341">
        <v>-5039.1990000000069</v>
      </c>
      <c r="AL1208" s="341">
        <v>-2306.7000000000126</v>
      </c>
      <c r="AM1208" s="341">
        <v>-4009.5000000000114</v>
      </c>
      <c r="AN1208" s="341">
        <v>-3504.5999999999922</v>
      </c>
      <c r="AO1208" s="341">
        <v>-4078.8000000000047</v>
      </c>
      <c r="AP1208" s="341">
        <v>-4484.7000000000007</v>
      </c>
      <c r="AQ1208" s="341">
        <v>-5514.2999999999929</v>
      </c>
      <c r="AR1208" s="341">
        <v>-3346.1999999999953</v>
      </c>
      <c r="AS1208" s="341">
        <v>-7751.7000000000126</v>
      </c>
      <c r="AT1208" s="341">
        <v>-6642.9000000000078</v>
      </c>
      <c r="AU1208" s="341">
        <v>-6930</v>
      </c>
      <c r="AV1208" s="341">
        <f ca="1">Calc!W18</f>
        <v>-6930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1.1599999999999999</v>
      </c>
      <c r="G1209" s="271">
        <v>1.1594</v>
      </c>
      <c r="H1209" s="271">
        <v>1.159</v>
      </c>
      <c r="I1209" s="271">
        <v>1.1599999999999999</v>
      </c>
      <c r="J1209" s="271">
        <v>1.1599999999999999</v>
      </c>
      <c r="K1209" s="271">
        <v>1.1593</v>
      </c>
      <c r="L1209" s="271">
        <v>1.1617999999999999</v>
      </c>
      <c r="M1209" s="271">
        <v>1.1603000000000001</v>
      </c>
      <c r="N1209" s="271">
        <v>1.1613</v>
      </c>
      <c r="O1209" s="271">
        <v>1.1627000000000001</v>
      </c>
      <c r="P1209" s="271">
        <v>1.1625000000000001</v>
      </c>
      <c r="Q1209" s="271">
        <v>1.1625000000000001</v>
      </c>
      <c r="R1209" s="271">
        <v>1.1405000000000001</v>
      </c>
      <c r="S1209" s="271">
        <v>1.1405000000000001</v>
      </c>
      <c r="T1209" s="271">
        <v>1.1417999999999999</v>
      </c>
      <c r="U1209" s="271">
        <v>1.1398999999999999</v>
      </c>
      <c r="V1209" s="271">
        <v>1.1411</v>
      </c>
      <c r="W1209" s="271">
        <v>1.1420999999999999</v>
      </c>
      <c r="X1209" s="271">
        <v>1.1423000000000001</v>
      </c>
      <c r="Y1209" s="271">
        <v>1.1418999999999999</v>
      </c>
      <c r="Z1209" s="273">
        <f ca="1">[1]ExtEntry!$R19</f>
        <v>1.1418999999999999</v>
      </c>
      <c r="AB1209" s="341">
        <v>-3179.9999999999995</v>
      </c>
      <c r="AC1209" s="341">
        <v>-2480.0000000000041</v>
      </c>
      <c r="AD1209" s="341">
        <v>-2440.000000000005</v>
      </c>
      <c r="AE1209" s="341">
        <v>-2060.0000000000023</v>
      </c>
      <c r="AF1209" s="341">
        <v>-2060.0000000000023</v>
      </c>
      <c r="AG1209" s="341">
        <v>-3120.0000000000045</v>
      </c>
      <c r="AH1209" s="341">
        <v>-1588.0000000000009</v>
      </c>
      <c r="AI1209" s="341">
        <v>-1320.0000000000002</v>
      </c>
      <c r="AJ1209" s="341">
        <v>-679.99999999999977</v>
      </c>
      <c r="AK1209" s="341">
        <v>-1238.8000000000047</v>
      </c>
      <c r="AL1209" s="341">
        <v>-120.00000000000455</v>
      </c>
      <c r="AM1209" s="341">
        <v>-1359.9999999999995</v>
      </c>
      <c r="AN1209" s="341">
        <v>-800.00000000000432</v>
      </c>
      <c r="AO1209" s="341">
        <v>79.999999999998295</v>
      </c>
      <c r="AP1209" s="341">
        <v>79.999999999998295</v>
      </c>
      <c r="AQ1209" s="341">
        <v>679.99999999999977</v>
      </c>
      <c r="AR1209" s="341">
        <v>-200.00000000000284</v>
      </c>
      <c r="AS1209" s="341">
        <v>-1039.9999999999991</v>
      </c>
      <c r="AT1209" s="341">
        <v>280.00000000000114</v>
      </c>
      <c r="AU1209" s="341">
        <v>-1800.0000000000043</v>
      </c>
      <c r="AV1209" s="341">
        <f ca="1">Calc!W19</f>
        <v>-1800.0000000000043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0.71479999999999999</v>
      </c>
      <c r="G1210" s="271">
        <v>0.71519999999999995</v>
      </c>
      <c r="H1210" s="271">
        <v>0.71479999999999999</v>
      </c>
      <c r="I1210" s="271">
        <v>0.71489999999999998</v>
      </c>
      <c r="J1210" s="271">
        <v>0.71489999999999998</v>
      </c>
      <c r="K1210" s="271">
        <v>0.71530000000000005</v>
      </c>
      <c r="L1210" s="271">
        <v>0.7157</v>
      </c>
      <c r="M1210" s="271">
        <v>0.71479999999999999</v>
      </c>
      <c r="N1210" s="271">
        <v>0.7157</v>
      </c>
      <c r="O1210" s="271">
        <v>0.71630000000000005</v>
      </c>
      <c r="P1210" s="271">
        <v>0.71930000000000005</v>
      </c>
      <c r="Q1210" s="271">
        <v>0.71289999999999998</v>
      </c>
      <c r="R1210" s="271">
        <v>0.71479999999999999</v>
      </c>
      <c r="S1210" s="271">
        <v>0.71479999999999999</v>
      </c>
      <c r="T1210" s="271">
        <v>0.71540000000000004</v>
      </c>
      <c r="U1210" s="271">
        <v>0.71319999999999995</v>
      </c>
      <c r="V1210" s="271">
        <v>0.71040000000000003</v>
      </c>
      <c r="W1210" s="271">
        <v>0.71230000000000004</v>
      </c>
      <c r="X1210" s="271">
        <v>0.71150000000000002</v>
      </c>
      <c r="Y1210" s="271">
        <v>0.71130000000000004</v>
      </c>
      <c r="Z1210" s="273">
        <f ca="1">[1]ExtEntry!$R20</f>
        <v>0.71130000000000004</v>
      </c>
      <c r="AB1210" s="341">
        <v>1606.2500000000002</v>
      </c>
      <c r="AC1210" s="341">
        <v>1437.5000000000005</v>
      </c>
      <c r="AD1210" s="341">
        <v>1268.7500000000007</v>
      </c>
      <c r="AE1210" s="341">
        <v>1243.7500000000011</v>
      </c>
      <c r="AF1210" s="341">
        <v>1243.7500000000011</v>
      </c>
      <c r="AG1210" s="341">
        <v>1143.7500000000011</v>
      </c>
      <c r="AH1210" s="341">
        <v>893.74999999999977</v>
      </c>
      <c r="AI1210" s="341">
        <v>1087.5000000000011</v>
      </c>
      <c r="AJ1210" s="341">
        <v>1218.7500000000018</v>
      </c>
      <c r="AK1210" s="341">
        <v>1018.7500000000016</v>
      </c>
      <c r="AL1210" s="341">
        <v>506.25000000000142</v>
      </c>
      <c r="AM1210" s="341">
        <v>-524.99999999999329</v>
      </c>
      <c r="AN1210" s="341">
        <v>-874.99999999999466</v>
      </c>
      <c r="AO1210" s="341">
        <v>1175.0000000000061</v>
      </c>
      <c r="AP1210" s="341">
        <v>1299.9999999999989</v>
      </c>
      <c r="AQ1210" s="341">
        <v>2825.0000000000064</v>
      </c>
      <c r="AR1210" s="341">
        <v>2625.0000000000018</v>
      </c>
      <c r="AS1210" s="341">
        <v>2750.0000000000036</v>
      </c>
      <c r="AT1210" s="341">
        <v>2575.0000000000027</v>
      </c>
      <c r="AU1210" s="341">
        <v>3725.000000000005</v>
      </c>
      <c r="AV1210" s="341">
        <f ca="1">Calc!W20</f>
        <v>3725.000000000005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1.6021000000000001</v>
      </c>
      <c r="G1211" s="271">
        <v>1.6015999999999999</v>
      </c>
      <c r="H1211" s="271">
        <v>1.6020000000000001</v>
      </c>
      <c r="I1211" s="271">
        <v>1.6017999999999999</v>
      </c>
      <c r="J1211" s="271">
        <v>1.6017999999999999</v>
      </c>
      <c r="K1211" s="271">
        <v>1.6022000000000001</v>
      </c>
      <c r="L1211" s="271">
        <v>1.6020000000000001</v>
      </c>
      <c r="M1211" s="271">
        <v>1.6869000000000001</v>
      </c>
      <c r="N1211" s="271">
        <v>1.6092</v>
      </c>
      <c r="O1211" s="271">
        <v>1.6041000000000001</v>
      </c>
      <c r="P1211" s="271">
        <v>1.6024</v>
      </c>
      <c r="Q1211" s="271">
        <v>1.6024</v>
      </c>
      <c r="R1211" s="271">
        <v>1.6207</v>
      </c>
      <c r="S1211" s="271">
        <v>1.6207</v>
      </c>
      <c r="T1211" s="271">
        <v>1.6241000000000001</v>
      </c>
      <c r="U1211" s="271">
        <v>1.6245000000000001</v>
      </c>
      <c r="V1211" s="271">
        <v>1.6232</v>
      </c>
      <c r="W1211" s="271">
        <v>1.6225000000000001</v>
      </c>
      <c r="X1211" s="271">
        <v>1.6235999999999999</v>
      </c>
      <c r="Y1211" s="271">
        <v>1.6119000000000001</v>
      </c>
      <c r="Z1211" s="273">
        <f ca="1">[1]ExtEntry!$R21</f>
        <v>1.6119000000000001</v>
      </c>
      <c r="AB1211" s="341">
        <v>2279.9999999999995</v>
      </c>
      <c r="AC1211" s="341">
        <v>2336.400000000001</v>
      </c>
      <c r="AD1211" s="341">
        <v>2340.0000000000009</v>
      </c>
      <c r="AE1211" s="341">
        <v>2399.9999999999995</v>
      </c>
      <c r="AF1211" s="341">
        <v>2399.9999999999995</v>
      </c>
      <c r="AG1211" s="341">
        <v>2519.9999999999995</v>
      </c>
      <c r="AH1211" s="341">
        <v>-11248.8</v>
      </c>
      <c r="AI1211" s="341">
        <v>-17482.8</v>
      </c>
      <c r="AJ1211" s="341">
        <v>-17692.8</v>
      </c>
      <c r="AK1211" s="341">
        <v>-17821.2</v>
      </c>
      <c r="AL1211" s="341">
        <v>-17760</v>
      </c>
      <c r="AM1211" s="341">
        <v>-17839.2</v>
      </c>
      <c r="AN1211" s="341">
        <v>-17820</v>
      </c>
      <c r="AO1211" s="341">
        <v>-17802</v>
      </c>
      <c r="AP1211" s="341">
        <v>-17860.8</v>
      </c>
      <c r="AQ1211" s="341">
        <v>-17797.199999999997</v>
      </c>
      <c r="AR1211" s="341">
        <v>-17760</v>
      </c>
      <c r="AS1211" s="341">
        <v>-18180</v>
      </c>
      <c r="AT1211" s="341">
        <v>-18180</v>
      </c>
      <c r="AU1211" s="341">
        <v>-18205.199999999997</v>
      </c>
      <c r="AV1211" s="341">
        <f ca="1">Calc!W21</f>
        <v>-18205.199999999997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1.3139000000000001</v>
      </c>
      <c r="G1212" s="271">
        <v>1.3150999999999999</v>
      </c>
      <c r="H1212" s="271">
        <v>1.3149</v>
      </c>
      <c r="I1212" s="271">
        <v>1.3144</v>
      </c>
      <c r="J1212" s="271">
        <v>1.3144</v>
      </c>
      <c r="K1212" s="271">
        <v>1.3129999999999999</v>
      </c>
      <c r="L1212" s="271">
        <v>1.3176000000000001</v>
      </c>
      <c r="M1212" s="271">
        <v>1.3153999999999999</v>
      </c>
      <c r="N1212" s="271">
        <v>1.3181</v>
      </c>
      <c r="O1212" s="271">
        <v>1.3191999999999999</v>
      </c>
      <c r="P1212" s="271">
        <v>1.3173999999999999</v>
      </c>
      <c r="Q1212" s="271">
        <v>1.3173999999999999</v>
      </c>
      <c r="R1212" s="271">
        <v>1.3366</v>
      </c>
      <c r="S1212" s="271">
        <v>1.3366</v>
      </c>
      <c r="T1212" s="271">
        <v>1.3391999999999999</v>
      </c>
      <c r="U1212" s="271">
        <v>1.3385</v>
      </c>
      <c r="V1212" s="271">
        <v>1.3385</v>
      </c>
      <c r="W1212" s="271">
        <v>1.3385</v>
      </c>
      <c r="X1212" s="271">
        <v>1.3381000000000001</v>
      </c>
      <c r="Y1212" s="271">
        <v>1.3363</v>
      </c>
      <c r="Z1212" s="273">
        <f ca="1">[1]ExtEntry!$R22</f>
        <v>1.3363</v>
      </c>
      <c r="AB1212" s="341">
        <v>90.839999999999961</v>
      </c>
      <c r="AC1212" s="341">
        <v>98.539999999999992</v>
      </c>
      <c r="AD1212" s="341">
        <v>96.762999999999977</v>
      </c>
      <c r="AE1212" s="341">
        <v>102.83999999999999</v>
      </c>
      <c r="AF1212" s="341">
        <v>102.83999999999999</v>
      </c>
      <c r="AG1212" s="341">
        <v>101.23999999999995</v>
      </c>
      <c r="AH1212" s="341">
        <v>115.98999999999997</v>
      </c>
      <c r="AI1212" s="341">
        <v>121.23999999999995</v>
      </c>
      <c r="AJ1212" s="341">
        <v>120.64</v>
      </c>
      <c r="AK1212" s="341">
        <v>113.23999999999998</v>
      </c>
      <c r="AL1212" s="341">
        <v>119.14000000000001</v>
      </c>
      <c r="AM1212" s="341">
        <v>114.03999999999996</v>
      </c>
      <c r="AN1212" s="341">
        <v>115.94000000000001</v>
      </c>
      <c r="AO1212" s="341">
        <v>110.73999999999998</v>
      </c>
      <c r="AP1212" s="341">
        <v>114.73999999999997</v>
      </c>
      <c r="AQ1212" s="341">
        <v>115.64</v>
      </c>
      <c r="AR1212" s="341">
        <v>113.44000000000001</v>
      </c>
      <c r="AS1212" s="341">
        <v>106.68999999999997</v>
      </c>
      <c r="AT1212" s="341">
        <v>120.13999999999996</v>
      </c>
      <c r="AU1212" s="341">
        <v>118.29</v>
      </c>
      <c r="AV1212" s="341">
        <f ca="1">Calc!W22</f>
        <v>118.29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1.4381999999999999</v>
      </c>
      <c r="G1213" s="271">
        <v>1.4373</v>
      </c>
      <c r="H1213" s="271">
        <v>1.4368000000000001</v>
      </c>
      <c r="I1213" s="271">
        <v>1.4382999999999999</v>
      </c>
      <c r="J1213" s="271">
        <v>1.4382999999999999</v>
      </c>
      <c r="K1213" s="271">
        <v>1.4373</v>
      </c>
      <c r="L1213" s="271">
        <v>1.4412</v>
      </c>
      <c r="M1213" s="271">
        <v>1.4397</v>
      </c>
      <c r="N1213" s="271">
        <v>1.4413</v>
      </c>
      <c r="O1213" s="271">
        <v>1.4431</v>
      </c>
      <c r="P1213" s="271">
        <v>1.4412</v>
      </c>
      <c r="Q1213" s="271">
        <v>1.4412</v>
      </c>
      <c r="R1213" s="271">
        <v>1.4490000000000001</v>
      </c>
      <c r="S1213" s="271">
        <v>1.4490000000000001</v>
      </c>
      <c r="T1213" s="271">
        <v>1.4502999999999999</v>
      </c>
      <c r="U1213" s="271">
        <v>1.4483999999999999</v>
      </c>
      <c r="V1213" s="271">
        <v>1.4493</v>
      </c>
      <c r="W1213" s="271">
        <v>1.4495</v>
      </c>
      <c r="X1213" s="271">
        <v>1.4503999999999999</v>
      </c>
      <c r="Y1213" s="271">
        <v>1.4553</v>
      </c>
      <c r="Z1213" s="273">
        <f ca="1">[1]ExtEntry!$R23</f>
        <v>1.4553</v>
      </c>
      <c r="AB1213" s="341">
        <v>10870.000000000002</v>
      </c>
      <c r="AC1213" s="341">
        <v>10989.999999999998</v>
      </c>
      <c r="AD1213" s="341">
        <v>11209.999999999998</v>
      </c>
      <c r="AE1213" s="341">
        <v>11340</v>
      </c>
      <c r="AF1213" s="341">
        <v>11340</v>
      </c>
      <c r="AG1213" s="341">
        <v>10570.000000000004</v>
      </c>
      <c r="AH1213" s="341">
        <v>13620.000000000002</v>
      </c>
      <c r="AI1213" s="341">
        <v>13489.999999999998</v>
      </c>
      <c r="AJ1213" s="341">
        <v>13889.999999999996</v>
      </c>
      <c r="AK1213" s="341">
        <v>14889.999999999996</v>
      </c>
      <c r="AL1213" s="341">
        <v>13620.000000000002</v>
      </c>
      <c r="AM1213" s="341">
        <v>13169.999999999998</v>
      </c>
      <c r="AN1213" s="341">
        <v>13779.999999999998</v>
      </c>
      <c r="AO1213" s="341">
        <v>14120.000000000002</v>
      </c>
      <c r="AP1213" s="341">
        <v>14800</v>
      </c>
      <c r="AQ1213" s="341">
        <v>15489.999999999998</v>
      </c>
      <c r="AR1213" s="341">
        <v>16250.000000000004</v>
      </c>
      <c r="AS1213" s="341">
        <v>17360.000000000004</v>
      </c>
      <c r="AT1213" s="341">
        <v>18200</v>
      </c>
      <c r="AU1213" s="341">
        <v>17950</v>
      </c>
      <c r="AV1213" s="341">
        <f ca="1">Calc!W23</f>
        <v>17950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1.3018000000000001</v>
      </c>
      <c r="G1214" s="271">
        <v>1.3013999999999999</v>
      </c>
      <c r="H1214" s="271">
        <v>1.3008</v>
      </c>
      <c r="I1214" s="271">
        <v>1.2998000000000001</v>
      </c>
      <c r="J1214" s="271">
        <v>1.2998000000000001</v>
      </c>
      <c r="K1214" s="271">
        <v>1.2967</v>
      </c>
      <c r="L1214" s="271">
        <v>1.3035000000000001</v>
      </c>
      <c r="M1214" s="271">
        <v>1.3</v>
      </c>
      <c r="N1214" s="271">
        <v>1.3013999999999999</v>
      </c>
      <c r="O1214" s="271">
        <v>1.3028</v>
      </c>
      <c r="P1214" s="271">
        <v>1.3048</v>
      </c>
      <c r="Q1214" s="271">
        <v>1.3048</v>
      </c>
      <c r="R1214" s="271">
        <v>1.3118000000000001</v>
      </c>
      <c r="S1214" s="271">
        <v>1.3118000000000001</v>
      </c>
      <c r="T1214" s="271">
        <v>1.3157000000000001</v>
      </c>
      <c r="U1214" s="271">
        <v>1.3141</v>
      </c>
      <c r="V1214" s="271">
        <v>1.3147</v>
      </c>
      <c r="W1214" s="271">
        <v>1.3157000000000001</v>
      </c>
      <c r="X1214" s="271">
        <v>1.3163</v>
      </c>
      <c r="Y1214" s="271">
        <v>1.3144</v>
      </c>
      <c r="Z1214" s="273">
        <f ca="1">[1]ExtEntry!$R24</f>
        <v>1.3144</v>
      </c>
      <c r="AB1214" s="341">
        <v>7120.0079999999989</v>
      </c>
      <c r="AC1214" s="341">
        <v>7120.0079999999989</v>
      </c>
      <c r="AD1214" s="341">
        <v>7760.0079999999989</v>
      </c>
      <c r="AE1214" s="341">
        <v>2165.0019999999977</v>
      </c>
      <c r="AF1214" s="341">
        <v>2165.0019999999977</v>
      </c>
      <c r="AG1214" s="341">
        <v>1520.0019999999981</v>
      </c>
      <c r="AH1214" s="341">
        <v>2550.001999999999</v>
      </c>
      <c r="AI1214" s="341">
        <v>2060.0020000000009</v>
      </c>
      <c r="AJ1214" s="341">
        <v>2190.002</v>
      </c>
      <c r="AK1214" s="341">
        <v>2935.0020000000009</v>
      </c>
      <c r="AL1214" s="341">
        <v>3590.0019999999986</v>
      </c>
      <c r="AM1214" s="341">
        <v>3215.0019999999986</v>
      </c>
      <c r="AN1214" s="341">
        <v>3695.0019999999986</v>
      </c>
      <c r="AO1214" s="341">
        <v>3750.0019999999986</v>
      </c>
      <c r="AP1214" s="341">
        <v>3970.0020000000009</v>
      </c>
      <c r="AQ1214" s="341">
        <v>4415.0019999999977</v>
      </c>
      <c r="AR1214" s="341">
        <v>4090.0019999999986</v>
      </c>
      <c r="AS1214" s="341">
        <v>3420.0020000000004</v>
      </c>
      <c r="AT1214" s="341">
        <v>3385.002</v>
      </c>
      <c r="AU1214" s="341">
        <v>3005.0019999999977</v>
      </c>
      <c r="AV1214" s="341">
        <f ca="1">Calc!W24</f>
        <v>3005.0019999999977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2.9217</v>
      </c>
      <c r="G1215" s="271">
        <v>2.9218999999999999</v>
      </c>
      <c r="H1215" s="271">
        <v>2.9197000000000002</v>
      </c>
      <c r="I1215" s="271">
        <v>2.92</v>
      </c>
      <c r="J1215" s="271">
        <v>2.92</v>
      </c>
      <c r="K1215" s="271">
        <v>2.9209000000000001</v>
      </c>
      <c r="L1215" s="271">
        <v>2.9173</v>
      </c>
      <c r="M1215" s="271">
        <v>2.9173</v>
      </c>
      <c r="N1215" s="271">
        <v>2.9207000000000001</v>
      </c>
      <c r="O1215" s="271">
        <v>2.92</v>
      </c>
      <c r="P1215" s="271">
        <v>2.9222000000000001</v>
      </c>
      <c r="Q1215" s="271">
        <v>2.8016000000000001</v>
      </c>
      <c r="R1215" s="271">
        <v>2.8003999999999998</v>
      </c>
      <c r="S1215" s="271">
        <v>2.8001999999999998</v>
      </c>
      <c r="T1215" s="271">
        <v>2.8029000000000002</v>
      </c>
      <c r="U1215" s="271">
        <v>2.8026</v>
      </c>
      <c r="V1215" s="271">
        <v>2.8026</v>
      </c>
      <c r="W1215" s="271">
        <v>2.8026</v>
      </c>
      <c r="X1215" s="271">
        <v>2.8047</v>
      </c>
      <c r="Y1215" s="271">
        <v>2.8010999999999999</v>
      </c>
      <c r="Z1215" s="273">
        <f ca="1">[1]ExtEntry!$R25</f>
        <v>2.8010999999999999</v>
      </c>
      <c r="AB1215" s="341">
        <v>26997.600000000002</v>
      </c>
      <c r="AC1215" s="341">
        <v>27397.600000000002</v>
      </c>
      <c r="AD1215" s="341">
        <v>27977.599999999995</v>
      </c>
      <c r="AE1215" s="341">
        <v>28977.599999999995</v>
      </c>
      <c r="AF1215" s="341">
        <v>28977.599999999995</v>
      </c>
      <c r="AG1215" s="341">
        <v>27757.600000000002</v>
      </c>
      <c r="AH1215" s="341">
        <v>29117.600000000006</v>
      </c>
      <c r="AI1215" s="341">
        <v>28717.600000000006</v>
      </c>
      <c r="AJ1215" s="341">
        <v>27117.600000000006</v>
      </c>
      <c r="AK1215" s="341">
        <v>28097.600000000002</v>
      </c>
      <c r="AL1215" s="341">
        <v>28157.600000000002</v>
      </c>
      <c r="AM1215" s="341">
        <v>25797.600000000002</v>
      </c>
      <c r="AN1215" s="341">
        <v>28374.400000000005</v>
      </c>
      <c r="AO1215" s="341">
        <v>28337.599999999995</v>
      </c>
      <c r="AP1215" s="341">
        <v>28357.600000000002</v>
      </c>
      <c r="AQ1215" s="341">
        <v>29037.599999999995</v>
      </c>
      <c r="AR1215" s="341">
        <v>29777.599999999995</v>
      </c>
      <c r="AS1215" s="341">
        <v>26537.599999999995</v>
      </c>
      <c r="AT1215" s="341">
        <v>26657.600000000002</v>
      </c>
      <c r="AU1215" s="341">
        <v>26597.600000000002</v>
      </c>
      <c r="AV1215" s="341">
        <f ca="1">Calc!W25</f>
        <v>26597.600000000002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0.58860000000000001</v>
      </c>
      <c r="G1216" s="271">
        <v>0.58750000000000002</v>
      </c>
      <c r="H1216" s="271">
        <v>0.58789999999999998</v>
      </c>
      <c r="I1216" s="271">
        <v>0.5887</v>
      </c>
      <c r="J1216" s="271">
        <v>0.5887</v>
      </c>
      <c r="K1216" s="271">
        <v>0.5897</v>
      </c>
      <c r="L1216" s="271">
        <v>0.58789999999999998</v>
      </c>
      <c r="M1216" s="271">
        <v>0.58919999999999995</v>
      </c>
      <c r="N1216" s="271">
        <v>0.58730000000000004</v>
      </c>
      <c r="O1216" s="271">
        <v>0.58530000000000004</v>
      </c>
      <c r="P1216" s="271">
        <v>0.58660000000000001</v>
      </c>
      <c r="Q1216" s="271">
        <v>0.58660000000000001</v>
      </c>
      <c r="R1216" s="271">
        <v>0.57140000000000002</v>
      </c>
      <c r="S1216" s="271">
        <v>0.57140000000000002</v>
      </c>
      <c r="T1216" s="271">
        <v>0.57320000000000004</v>
      </c>
      <c r="U1216" s="271">
        <v>0.57350000000000001</v>
      </c>
      <c r="V1216" s="271">
        <v>0.57320000000000004</v>
      </c>
      <c r="W1216" s="271">
        <v>0.57320000000000004</v>
      </c>
      <c r="X1216" s="271">
        <v>0.57299999999999995</v>
      </c>
      <c r="Y1216" s="271">
        <v>0.57110000000000005</v>
      </c>
      <c r="Z1216" s="273">
        <f ca="1">[1]ExtEntry!$R26</f>
        <v>0.57110000000000005</v>
      </c>
      <c r="AB1216" s="341">
        <v>2311.0000000000073</v>
      </c>
      <c r="AC1216" s="341">
        <v>2420.9999999999923</v>
      </c>
      <c r="AD1216" s="341">
        <v>3540.9999999999968</v>
      </c>
      <c r="AE1216" s="341">
        <v>4691.0000000000027</v>
      </c>
      <c r="AF1216" s="341">
        <v>4691.0000000000027</v>
      </c>
      <c r="AG1216" s="341">
        <v>6840.99999999998</v>
      </c>
      <c r="AH1216" s="341">
        <v>3420.9999999999923</v>
      </c>
      <c r="AI1216" s="341">
        <v>1161.0000000000014</v>
      </c>
      <c r="AJ1216" s="341">
        <v>-899.00000000000091</v>
      </c>
      <c r="AK1216" s="341">
        <v>-3159.00000000002</v>
      </c>
      <c r="AL1216" s="341">
        <v>435.59999999999775</v>
      </c>
      <c r="AM1216" s="341">
        <v>1016.3999999999947</v>
      </c>
      <c r="AN1216" s="341">
        <v>52.799999999998875</v>
      </c>
      <c r="AO1216" s="341">
        <v>673.19999999999732</v>
      </c>
      <c r="AP1216" s="341">
        <v>435.59999999999775</v>
      </c>
      <c r="AQ1216" s="341">
        <v>557.69999999999925</v>
      </c>
      <c r="AR1216" s="341">
        <v>316.79999999999325</v>
      </c>
      <c r="AS1216" s="341">
        <v>-72.600000000009004</v>
      </c>
      <c r="AT1216" s="341">
        <v>6.5999999999939973</v>
      </c>
      <c r="AU1216" s="341">
        <v>732.59999999999968</v>
      </c>
      <c r="AV1216" s="341">
        <f ca="1">Calc!W26</f>
        <v>732.59999999999968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0.496</v>
      </c>
      <c r="G1217" s="271">
        <v>0.49480000000000002</v>
      </c>
      <c r="H1217" s="271">
        <v>0.49530000000000002</v>
      </c>
      <c r="I1217" s="271">
        <v>0.49669999999999997</v>
      </c>
      <c r="J1217" s="271">
        <v>0.49669999999999997</v>
      </c>
      <c r="K1217" s="271">
        <v>0.49859999999999999</v>
      </c>
      <c r="L1217" s="271">
        <v>0.499</v>
      </c>
      <c r="M1217" s="271">
        <v>0.4955</v>
      </c>
      <c r="N1217" s="271">
        <v>0.49690000000000001</v>
      </c>
      <c r="O1217" s="271">
        <v>0.49340000000000001</v>
      </c>
      <c r="P1217" s="271">
        <v>0.49020000000000002</v>
      </c>
      <c r="Q1217" s="271">
        <v>0.49020000000000002</v>
      </c>
      <c r="R1217" s="271">
        <v>0.49430000000000002</v>
      </c>
      <c r="S1217" s="271">
        <v>0.49430000000000002</v>
      </c>
      <c r="T1217" s="271">
        <v>0.49680000000000002</v>
      </c>
      <c r="U1217" s="271">
        <v>0.49559999999999998</v>
      </c>
      <c r="V1217" s="271">
        <v>0.49509999999999998</v>
      </c>
      <c r="W1217" s="271">
        <v>0.49569999999999997</v>
      </c>
      <c r="X1217" s="271">
        <v>0.4955</v>
      </c>
      <c r="Y1217" s="271">
        <v>0.49480000000000002</v>
      </c>
      <c r="Z1217" s="273">
        <f ca="1">[1]ExtEntry!$R27</f>
        <v>0.49480000000000002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1.3969</v>
      </c>
      <c r="G1218" s="271">
        <v>1.3972</v>
      </c>
      <c r="H1218" s="271">
        <v>1.3986000000000001</v>
      </c>
      <c r="I1218" s="271">
        <v>1.4024000000000001</v>
      </c>
      <c r="J1218" s="271">
        <v>1.4024000000000001</v>
      </c>
      <c r="K1218" s="271">
        <v>1.401</v>
      </c>
      <c r="L1218" s="271">
        <v>1.4016</v>
      </c>
      <c r="M1218" s="271">
        <v>1.4020999999999999</v>
      </c>
      <c r="N1218" s="271">
        <v>1.4028</v>
      </c>
      <c r="O1218" s="271">
        <v>1.4145000000000001</v>
      </c>
      <c r="P1218" s="271">
        <v>1.4066000000000001</v>
      </c>
      <c r="Q1218" s="271">
        <v>1.4066000000000001</v>
      </c>
      <c r="R1218" s="271">
        <v>1.4078999999999999</v>
      </c>
      <c r="S1218" s="271">
        <v>1.4078999999999999</v>
      </c>
      <c r="T1218" s="271">
        <v>1.4041999999999999</v>
      </c>
      <c r="U1218" s="271">
        <v>1.4073</v>
      </c>
      <c r="V1218" s="271">
        <v>1.4026000000000001</v>
      </c>
      <c r="W1218" s="271">
        <v>1.3997999999999999</v>
      </c>
      <c r="X1218" s="271">
        <v>1.4018999999999999</v>
      </c>
      <c r="Y1218" s="271">
        <v>1.4157</v>
      </c>
      <c r="Z1218" s="273">
        <f ca="1">[1]ExtEntry!$R28</f>
        <v>1.4157</v>
      </c>
      <c r="AB1218" s="341">
        <v>-1826.599999999999</v>
      </c>
      <c r="AC1218" s="341">
        <v>-1266.6000000000004</v>
      </c>
      <c r="AD1218" s="341">
        <v>-680.39999999999873</v>
      </c>
      <c r="AE1218" s="341">
        <v>-936.60000000000036</v>
      </c>
      <c r="AF1218" s="341">
        <v>-936.60000000000036</v>
      </c>
      <c r="AG1218" s="341">
        <v>-1286.5999999999999</v>
      </c>
      <c r="AH1218" s="341">
        <v>-766.60000000000036</v>
      </c>
      <c r="AI1218" s="341">
        <v>-766.60000000000036</v>
      </c>
      <c r="AJ1218" s="341">
        <v>413.40000000000111</v>
      </c>
      <c r="AK1218" s="341">
        <v>53.399999999999892</v>
      </c>
      <c r="AL1218" s="341">
        <v>-196.60000000000011</v>
      </c>
      <c r="AM1218" s="341">
        <v>-586.59999999999889</v>
      </c>
      <c r="AN1218" s="341">
        <v>-616.6</v>
      </c>
      <c r="AO1218" s="341">
        <v>-696.60000000000014</v>
      </c>
      <c r="AP1218" s="341">
        <v>-196.60000000000011</v>
      </c>
      <c r="AQ1218" s="341">
        <v>93.400000000000816</v>
      </c>
      <c r="AR1218" s="341">
        <v>1143.3999999999996</v>
      </c>
      <c r="AS1218" s="341">
        <v>2133.4</v>
      </c>
      <c r="AT1218" s="341">
        <v>2033.4000000000003</v>
      </c>
      <c r="AU1218" s="341">
        <v>1973.3999999999999</v>
      </c>
      <c r="AV1218" s="341">
        <f ca="1">Calc!W28</f>
        <v>1973.3999999999999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1.9331</v>
      </c>
      <c r="G1219" s="271">
        <v>1.9322999999999999</v>
      </c>
      <c r="H1219" s="271">
        <v>1.9377</v>
      </c>
      <c r="I1219" s="271">
        <v>1.9379</v>
      </c>
      <c r="J1219" s="271">
        <v>1.9379</v>
      </c>
      <c r="K1219" s="271">
        <v>1.9413</v>
      </c>
      <c r="L1219" s="271">
        <v>1.9336</v>
      </c>
      <c r="M1219" s="271">
        <v>1.9355</v>
      </c>
      <c r="N1219" s="271">
        <v>1.9280999999999999</v>
      </c>
      <c r="O1219" s="271">
        <v>1.9251</v>
      </c>
      <c r="P1219" s="271">
        <v>1.9282999999999999</v>
      </c>
      <c r="Q1219" s="271">
        <v>1.9282999999999999</v>
      </c>
      <c r="R1219" s="271">
        <v>1.9981</v>
      </c>
      <c r="S1219" s="271">
        <v>1.9981</v>
      </c>
      <c r="T1219" s="271">
        <v>2.0028999999999999</v>
      </c>
      <c r="U1219" s="271">
        <v>1.9996</v>
      </c>
      <c r="V1219" s="271">
        <v>2.0015000000000001</v>
      </c>
      <c r="W1219" s="271">
        <v>2.0028999999999999</v>
      </c>
      <c r="X1219" s="271">
        <v>2.0034000000000001</v>
      </c>
      <c r="Y1219" s="271">
        <v>2.0053999999999998</v>
      </c>
      <c r="Z1219" s="273">
        <f ca="1">[1]ExtEntry!$R29</f>
        <v>2.0053999999999998</v>
      </c>
      <c r="AB1219" s="341">
        <v>-44190.3</v>
      </c>
      <c r="AC1219" s="341">
        <v>-40590</v>
      </c>
      <c r="AD1219" s="341">
        <v>-39945.000000000007</v>
      </c>
      <c r="AE1219" s="341">
        <v>-40245.000000000007</v>
      </c>
      <c r="AF1219" s="341">
        <v>-40245.000000000007</v>
      </c>
      <c r="AG1219" s="341">
        <v>-43380</v>
      </c>
      <c r="AH1219" s="341">
        <v>-48000</v>
      </c>
      <c r="AI1219" s="341">
        <v>-49860</v>
      </c>
      <c r="AJ1219" s="341">
        <v>-48750</v>
      </c>
      <c r="AK1219" s="341">
        <v>-50715</v>
      </c>
      <c r="AL1219" s="341">
        <v>-51780.000000000007</v>
      </c>
      <c r="AM1219" s="341">
        <v>-53610</v>
      </c>
      <c r="AN1219" s="341">
        <v>-51210</v>
      </c>
      <c r="AO1219" s="341">
        <v>-51900</v>
      </c>
      <c r="AP1219" s="341">
        <v>-51210</v>
      </c>
      <c r="AQ1219" s="341">
        <v>-49560.000000000007</v>
      </c>
      <c r="AR1219" s="341">
        <v>-50640.000000000007</v>
      </c>
      <c r="AS1219" s="341">
        <v>-51120.000000000007</v>
      </c>
      <c r="AT1219" s="341">
        <v>-47910.000000000007</v>
      </c>
      <c r="AU1219" s="341">
        <v>-53520</v>
      </c>
      <c r="AV1219" s="341">
        <f ca="1">Calc!W29</f>
        <v>-53520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1.0410999999999999</v>
      </c>
      <c r="G1220" s="271">
        <v>1.0412999999999999</v>
      </c>
      <c r="H1220" s="271">
        <v>1.0423</v>
      </c>
      <c r="I1220" s="271">
        <v>1.0421</v>
      </c>
      <c r="J1220" s="271">
        <v>1.0421</v>
      </c>
      <c r="K1220" s="271">
        <v>1.0446</v>
      </c>
      <c r="L1220" s="271">
        <v>1.0394000000000001</v>
      </c>
      <c r="M1220" s="271">
        <v>1.0419</v>
      </c>
      <c r="N1220" s="271">
        <v>1.0387999999999999</v>
      </c>
      <c r="O1220" s="271">
        <v>1.0377000000000001</v>
      </c>
      <c r="P1220" s="271">
        <v>1.04</v>
      </c>
      <c r="Q1220" s="271">
        <v>1.04</v>
      </c>
      <c r="R1220" s="271">
        <v>1.0273000000000001</v>
      </c>
      <c r="S1220" s="271">
        <v>1.0278</v>
      </c>
      <c r="T1220" s="271">
        <v>1.0276000000000001</v>
      </c>
      <c r="U1220" s="271">
        <v>1.0294000000000001</v>
      </c>
      <c r="V1220" s="271">
        <v>1.0286</v>
      </c>
      <c r="W1220" s="271">
        <v>1.0281</v>
      </c>
      <c r="X1220" s="271">
        <v>1.0274000000000001</v>
      </c>
      <c r="Y1220" s="271">
        <v>1.0249999999999999</v>
      </c>
      <c r="Z1220" s="273">
        <f ca="1">[1]ExtEntry!$R30</f>
        <v>1.0249999999999999</v>
      </c>
      <c r="AB1220" s="341">
        <v>21832.5</v>
      </c>
      <c r="AC1220" s="341">
        <v>21658.500000000007</v>
      </c>
      <c r="AD1220" s="341">
        <v>20941.499999999993</v>
      </c>
      <c r="AE1220" s="341">
        <v>19575</v>
      </c>
      <c r="AF1220" s="341">
        <v>19575</v>
      </c>
      <c r="AG1220" s="341">
        <v>19093.500000000004</v>
      </c>
      <c r="AH1220" s="341">
        <v>18874.499999999996</v>
      </c>
      <c r="AI1220" s="341">
        <v>18541.500000000004</v>
      </c>
      <c r="AJ1220" s="341">
        <v>19246.5</v>
      </c>
      <c r="AK1220" s="341">
        <v>19443.75</v>
      </c>
      <c r="AL1220" s="341">
        <v>19239</v>
      </c>
      <c r="AM1220" s="341">
        <v>18361.499999999996</v>
      </c>
      <c r="AN1220" s="341">
        <v>19047.000000000004</v>
      </c>
      <c r="AO1220" s="341">
        <v>19038.000000000004</v>
      </c>
      <c r="AP1220" s="341">
        <v>19431.000000000004</v>
      </c>
      <c r="AQ1220" s="341">
        <v>17965.499999999996</v>
      </c>
      <c r="AR1220" s="341">
        <v>17997.000000000004</v>
      </c>
      <c r="AS1220" s="341">
        <v>18291</v>
      </c>
      <c r="AT1220" s="341">
        <v>18441</v>
      </c>
      <c r="AU1220" s="341">
        <v>19720.499999999996</v>
      </c>
      <c r="AV1220" s="341">
        <f ca="1">Calc!W30</f>
        <v>19720.499999999996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0.63739999999999997</v>
      </c>
      <c r="G1221" s="271">
        <v>0.63739999999999997</v>
      </c>
      <c r="H1221" s="271">
        <v>0.64059999999999995</v>
      </c>
      <c r="I1221" s="271">
        <v>0.63959999999999995</v>
      </c>
      <c r="J1221" s="271">
        <v>0.63959999999999995</v>
      </c>
      <c r="K1221" s="271">
        <v>0.63690000000000002</v>
      </c>
      <c r="L1221" s="271">
        <v>0.64139999999999997</v>
      </c>
      <c r="M1221" s="271">
        <v>0.63880000000000003</v>
      </c>
      <c r="N1221" s="271">
        <v>0.63990000000000002</v>
      </c>
      <c r="O1221" s="271">
        <v>0.63939999999999997</v>
      </c>
      <c r="P1221" s="271">
        <v>0.63719999999999999</v>
      </c>
      <c r="Q1221" s="271">
        <v>0.63719999999999999</v>
      </c>
      <c r="R1221" s="271">
        <v>0.64429999999999998</v>
      </c>
      <c r="S1221" s="271">
        <v>0.64429999999999998</v>
      </c>
      <c r="T1221" s="271">
        <v>0.64700000000000002</v>
      </c>
      <c r="U1221" s="271">
        <v>0.64790000000000003</v>
      </c>
      <c r="V1221" s="271">
        <v>0.64859999999999995</v>
      </c>
      <c r="W1221" s="271">
        <v>0.64790000000000003</v>
      </c>
      <c r="X1221" s="271">
        <v>0.64710000000000001</v>
      </c>
      <c r="Y1221" s="271">
        <v>0.64590000000000003</v>
      </c>
      <c r="Z1221" s="273">
        <f ca="1">[1]ExtEntry!$R31</f>
        <v>0.64590000000000003</v>
      </c>
      <c r="AB1221" s="341">
        <v>-3210.0000000000223</v>
      </c>
      <c r="AC1221" s="341">
        <v>-59.999999999988063</v>
      </c>
      <c r="AD1221" s="341">
        <v>11309.999999999987</v>
      </c>
      <c r="AE1221" s="341">
        <v>11204.999999999998</v>
      </c>
      <c r="AF1221" s="341">
        <v>11204.999999999998</v>
      </c>
      <c r="AG1221" s="341">
        <v>10889.999999999985</v>
      </c>
      <c r="AH1221" s="341">
        <v>8279.9999999999727</v>
      </c>
      <c r="AI1221" s="341">
        <v>6840.0000000000036</v>
      </c>
      <c r="AJ1221" s="341">
        <v>3930.0000000000068</v>
      </c>
      <c r="AK1221" s="341">
        <v>63.999999999998636</v>
      </c>
      <c r="AL1221" s="341">
        <v>-102.00000000000102</v>
      </c>
      <c r="AM1221" s="341">
        <v>-102.00000000000102</v>
      </c>
      <c r="AN1221" s="341">
        <v>-180.00000000000114</v>
      </c>
      <c r="AO1221" s="341">
        <v>-186.00000000000136</v>
      </c>
      <c r="AP1221" s="341">
        <v>-337.99999999999955</v>
      </c>
      <c r="AQ1221" s="341">
        <v>-550</v>
      </c>
      <c r="AR1221" s="341">
        <v>-496.0000000000008</v>
      </c>
      <c r="AS1221" s="341">
        <v>178.22799999999006</v>
      </c>
      <c r="AT1221" s="341">
        <v>1458.2279999999628</v>
      </c>
      <c r="AU1221" s="341">
        <v>2638.2279999999696</v>
      </c>
      <c r="AV1221" s="341">
        <f ca="1">Calc!W31</f>
        <v>2638.2279999999696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0.34849999999999998</v>
      </c>
      <c r="G1222" s="271">
        <v>0.34870000000000001</v>
      </c>
      <c r="H1222" s="271">
        <v>0.34970000000000001</v>
      </c>
      <c r="I1222" s="271">
        <v>0.3468</v>
      </c>
      <c r="J1222" s="271">
        <v>0.3468</v>
      </c>
      <c r="K1222" s="271">
        <v>0.34179999999999999</v>
      </c>
      <c r="L1222" s="271">
        <v>0.35110000000000002</v>
      </c>
      <c r="M1222" s="271">
        <v>0.3468</v>
      </c>
      <c r="N1222" s="271">
        <v>0.3528</v>
      </c>
      <c r="O1222" s="271">
        <v>0.35570000000000002</v>
      </c>
      <c r="P1222" s="271">
        <v>0.35360000000000003</v>
      </c>
      <c r="Q1222" s="271">
        <v>0.35360000000000003</v>
      </c>
      <c r="R1222" s="271">
        <v>0.33160000000000001</v>
      </c>
      <c r="S1222" s="271">
        <v>0.33160000000000001</v>
      </c>
      <c r="T1222" s="271">
        <v>0.33429999999999999</v>
      </c>
      <c r="U1222" s="271">
        <v>0.33300000000000002</v>
      </c>
      <c r="V1222" s="271">
        <v>0.3337</v>
      </c>
      <c r="W1222" s="271">
        <v>0.33389999999999997</v>
      </c>
      <c r="X1222" s="271">
        <v>0.33400000000000002</v>
      </c>
      <c r="Y1222" s="271">
        <v>0.33800000000000002</v>
      </c>
      <c r="Z1222" s="273">
        <f ca="1">[1]ExtEntry!$R32</f>
        <v>0.33800000000000002</v>
      </c>
      <c r="AB1222" s="341">
        <v>12254.999999999996</v>
      </c>
      <c r="AC1222" s="341">
        <v>13125</v>
      </c>
      <c r="AD1222" s="341">
        <v>13159.999999999996</v>
      </c>
      <c r="AE1222" s="341">
        <v>11344.999999999998</v>
      </c>
      <c r="AF1222" s="341">
        <v>11344.999999999998</v>
      </c>
      <c r="AG1222" s="341">
        <v>13010.000000000005</v>
      </c>
      <c r="AH1222" s="341">
        <v>15105.000000000004</v>
      </c>
      <c r="AI1222" s="341">
        <v>16485</v>
      </c>
      <c r="AJ1222" s="341">
        <v>16430.000000000007</v>
      </c>
      <c r="AK1222" s="341">
        <v>16788.399999999994</v>
      </c>
      <c r="AL1222" s="341">
        <v>18430.000000000007</v>
      </c>
      <c r="AM1222" s="341">
        <v>20049.999999999996</v>
      </c>
      <c r="AN1222" s="341">
        <v>20314.999999999996</v>
      </c>
      <c r="AO1222" s="341">
        <v>19450.000000000004</v>
      </c>
      <c r="AP1222" s="341">
        <v>18909.999999999996</v>
      </c>
      <c r="AQ1222" s="341">
        <v>19799.999999999996</v>
      </c>
      <c r="AR1222" s="341">
        <v>19950.000000000004</v>
      </c>
      <c r="AS1222" s="341">
        <v>22500</v>
      </c>
      <c r="AT1222" s="341">
        <v>23625</v>
      </c>
      <c r="AU1222" s="341">
        <v>23295</v>
      </c>
      <c r="AV1222" s="341">
        <f ca="1">Calc!W32</f>
        <v>23295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1.6044</v>
      </c>
      <c r="G1223" s="271">
        <v>1.6060000000000001</v>
      </c>
      <c r="H1223" s="271">
        <v>1.6060000000000001</v>
      </c>
      <c r="I1223" s="271">
        <v>1.6062000000000001</v>
      </c>
      <c r="J1223" s="271">
        <v>1.6062000000000001</v>
      </c>
      <c r="K1223" s="271">
        <v>1.6042000000000001</v>
      </c>
      <c r="L1223" s="271">
        <v>1.6044</v>
      </c>
      <c r="M1223" s="271">
        <v>1.605</v>
      </c>
      <c r="N1223" s="271">
        <v>1.6056999999999999</v>
      </c>
      <c r="O1223" s="271">
        <v>1.6054999999999999</v>
      </c>
      <c r="P1223" s="271">
        <v>1.6047</v>
      </c>
      <c r="Q1223" s="271">
        <v>1.6047</v>
      </c>
      <c r="R1223" s="271">
        <v>1.6041000000000001</v>
      </c>
      <c r="S1223" s="271">
        <v>1.6044</v>
      </c>
      <c r="T1223" s="271">
        <v>1.6047</v>
      </c>
      <c r="U1223" s="271">
        <v>1.6045</v>
      </c>
      <c r="V1223" s="271">
        <v>1.605</v>
      </c>
      <c r="W1223" s="271">
        <v>1.605</v>
      </c>
      <c r="X1223" s="271">
        <v>1.6057999999999999</v>
      </c>
      <c r="Y1223" s="271">
        <v>1.6034999999999999</v>
      </c>
      <c r="Z1223" s="273">
        <f ca="1">[1]ExtEntry!$R33</f>
        <v>1.6034999999999999</v>
      </c>
      <c r="AB1223" s="341">
        <v>11496.000000000004</v>
      </c>
      <c r="AC1223" s="341">
        <v>11984.000000000015</v>
      </c>
      <c r="AD1223" s="341">
        <v>13703.999999999996</v>
      </c>
      <c r="AE1223" s="341">
        <v>1451.9999999999527</v>
      </c>
      <c r="AF1223" s="341">
        <v>1451.9999999999527</v>
      </c>
      <c r="AG1223" s="341">
        <v>1947.9999999999563</v>
      </c>
      <c r="AH1223" s="341">
        <v>3631.9999999999709</v>
      </c>
      <c r="AI1223" s="341">
        <v>6839.9999999999636</v>
      </c>
      <c r="AJ1223" s="341">
        <v>5803.9999999999964</v>
      </c>
      <c r="AK1223" s="341">
        <v>6822.0000000000255</v>
      </c>
      <c r="AL1223" s="341">
        <v>-296.00000000000364</v>
      </c>
      <c r="AM1223" s="341">
        <v>-2597.0000000000255</v>
      </c>
      <c r="AN1223" s="341">
        <v>988.00000000001091</v>
      </c>
      <c r="AO1223" s="341">
        <v>6876.0000000000218</v>
      </c>
      <c r="AP1223" s="341">
        <v>19396.000000000004</v>
      </c>
      <c r="AQ1223" s="341">
        <v>14307.999999999993</v>
      </c>
      <c r="AR1223" s="341">
        <v>21703.999999999996</v>
      </c>
      <c r="AS1223" s="341">
        <v>15488.000000000011</v>
      </c>
      <c r="AT1223" s="341">
        <v>-1539.9999999999636</v>
      </c>
      <c r="AU1223" s="341">
        <v>-8219.9999999999818</v>
      </c>
      <c r="AV1223" s="341">
        <f ca="1">Calc!W33</f>
        <v>-8219.9999999999818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0.58220000000000005</v>
      </c>
      <c r="G1224" s="271">
        <v>0.58120000000000005</v>
      </c>
      <c r="H1224" s="271">
        <v>0.57879999999999998</v>
      </c>
      <c r="I1224" s="271">
        <v>0.57979999999999998</v>
      </c>
      <c r="J1224" s="271">
        <v>0.57979999999999998</v>
      </c>
      <c r="K1224" s="271">
        <v>0.5827</v>
      </c>
      <c r="L1224" s="271">
        <v>0.57769999999999999</v>
      </c>
      <c r="M1224" s="271">
        <v>0.57369999999999999</v>
      </c>
      <c r="N1224" s="271">
        <v>0.56399999999999995</v>
      </c>
      <c r="O1224" s="271">
        <v>0.56089999999999995</v>
      </c>
      <c r="P1224" s="271">
        <v>0.5665</v>
      </c>
      <c r="Q1224" s="271">
        <v>0.5665</v>
      </c>
      <c r="R1224" s="271">
        <v>0.55989999999999995</v>
      </c>
      <c r="S1224" s="271">
        <v>0.55989999999999995</v>
      </c>
      <c r="T1224" s="271">
        <v>0.57310000000000005</v>
      </c>
      <c r="U1224" s="271">
        <v>0.57679999999999998</v>
      </c>
      <c r="V1224" s="271">
        <v>0.5706</v>
      </c>
      <c r="W1224" s="271">
        <v>0.56730000000000003</v>
      </c>
      <c r="X1224" s="271">
        <v>0.56659999999999999</v>
      </c>
      <c r="Y1224" s="271">
        <v>0.56910000000000005</v>
      </c>
      <c r="Z1224" s="273">
        <f ca="1">[1]ExtEntry!$R34</f>
        <v>0.56910000000000005</v>
      </c>
      <c r="AB1224" s="341">
        <v>-1281.0000000000066</v>
      </c>
      <c r="AC1224" s="341">
        <v>-189.0000000000025</v>
      </c>
      <c r="AD1224" s="341">
        <v>-1050.0000000000009</v>
      </c>
      <c r="AE1224" s="341">
        <v>-2477.9999999999991</v>
      </c>
      <c r="AF1224" s="341">
        <v>-2477.9999999999991</v>
      </c>
      <c r="AG1224" s="341">
        <v>-4193.0000000000045</v>
      </c>
      <c r="AH1224" s="341">
        <v>-7791.0000000000045</v>
      </c>
      <c r="AI1224" s="341">
        <v>-8743.0000000000055</v>
      </c>
      <c r="AJ1224" s="341">
        <v>-525.00000000000045</v>
      </c>
      <c r="AK1224" s="341">
        <v>-603.00000000000023</v>
      </c>
      <c r="AL1224" s="341">
        <v>-756</v>
      </c>
      <c r="AM1224" s="341">
        <v>-138199.06079999998</v>
      </c>
      <c r="AN1224" s="341">
        <v>-126868.25249999999</v>
      </c>
      <c r="AO1224" s="341">
        <v>-139801.74749999997</v>
      </c>
      <c r="AP1224" s="341">
        <v>-156335.28749999998</v>
      </c>
      <c r="AQ1224" s="341">
        <v>-144068.46749999997</v>
      </c>
      <c r="AR1224" s="341">
        <v>-136601.70749999996</v>
      </c>
      <c r="AS1224" s="341">
        <v>-126468.24749999997</v>
      </c>
      <c r="AT1224" s="341">
        <v>-126734.91749999998</v>
      </c>
      <c r="AU1224" s="341">
        <v>-2062.5000000000005</v>
      </c>
      <c r="AV1224" s="341">
        <f ca="1">Calc!W34</f>
        <v>-2062.5000000000005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0.79020000000000001</v>
      </c>
      <c r="G1225" s="271">
        <v>0.79379999999999995</v>
      </c>
      <c r="H1225" s="271">
        <v>0.7913</v>
      </c>
      <c r="I1225" s="271">
        <v>0.7903</v>
      </c>
      <c r="J1225" s="271">
        <v>0.7903</v>
      </c>
      <c r="K1225" s="271">
        <v>0.78510000000000002</v>
      </c>
      <c r="L1225" s="271">
        <v>0.80879999999999996</v>
      </c>
      <c r="M1225" s="271">
        <v>0.82840000000000003</v>
      </c>
      <c r="N1225" s="271">
        <v>0.82269999999999999</v>
      </c>
      <c r="O1225" s="271">
        <v>0.83320000000000005</v>
      </c>
      <c r="P1225" s="271">
        <v>0.85219999999999996</v>
      </c>
      <c r="Q1225" s="271">
        <v>0.85219999999999996</v>
      </c>
      <c r="R1225" s="271">
        <v>0.83340000000000003</v>
      </c>
      <c r="S1225" s="271">
        <v>0.83260000000000001</v>
      </c>
      <c r="T1225" s="271">
        <v>0.8337</v>
      </c>
      <c r="U1225" s="271">
        <v>0.83379999999999999</v>
      </c>
      <c r="V1225" s="271">
        <v>0.83720000000000006</v>
      </c>
      <c r="W1225" s="271">
        <v>0.83640000000000003</v>
      </c>
      <c r="X1225" s="271">
        <v>0.83909999999999996</v>
      </c>
      <c r="Y1225" s="271">
        <v>0.84379999999999999</v>
      </c>
      <c r="Z1225" s="273">
        <f ca="1">[1]ExtEntry!$R35</f>
        <v>0.84379999999999999</v>
      </c>
      <c r="AB1225" s="341">
        <v>3772.8</v>
      </c>
      <c r="AC1225" s="341">
        <v>4129.9999999999991</v>
      </c>
      <c r="AD1225" s="341">
        <v>3974.9999999999977</v>
      </c>
      <c r="AE1225" s="341">
        <v>3105.0000000000005</v>
      </c>
      <c r="AF1225" s="341">
        <v>3105.0000000000005</v>
      </c>
      <c r="AG1225" s="341">
        <v>3689.9999999999977</v>
      </c>
      <c r="AH1225" s="341">
        <v>4969.9999999999991</v>
      </c>
      <c r="AI1225" s="341">
        <v>5579.9999999999982</v>
      </c>
      <c r="AJ1225" s="341">
        <v>5469.9999999999991</v>
      </c>
      <c r="AK1225" s="341">
        <v>5024.9999999999982</v>
      </c>
      <c r="AL1225" s="341">
        <v>6390.0000000000009</v>
      </c>
      <c r="AM1225" s="341">
        <v>7004.9999999999955</v>
      </c>
      <c r="AN1225" s="341">
        <v>6966.4999999999964</v>
      </c>
      <c r="AO1225" s="341">
        <v>6509.9999999999982</v>
      </c>
      <c r="AP1225" s="341">
        <v>6049.9999999999973</v>
      </c>
      <c r="AQ1225" s="341">
        <v>8240.0000000000018</v>
      </c>
      <c r="AR1225" s="341">
        <v>7899.9999999999982</v>
      </c>
      <c r="AS1225" s="341">
        <v>8729.9999999999964</v>
      </c>
      <c r="AT1225" s="341">
        <v>9301.2000000000007</v>
      </c>
      <c r="AU1225" s="341">
        <v>9159.9999999999964</v>
      </c>
      <c r="AV1225" s="341">
        <f ca="1">Calc!W35</f>
        <v>9159.9999999999964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0.31430000000000002</v>
      </c>
      <c r="G1226" s="271">
        <v>0.31209999999999999</v>
      </c>
      <c r="H1226" s="271">
        <v>0.27639999999999998</v>
      </c>
      <c r="I1226" s="271">
        <v>0.29249999999999998</v>
      </c>
      <c r="J1226" s="271">
        <v>0.29249999999999998</v>
      </c>
      <c r="K1226" s="271">
        <v>0.28549999999999998</v>
      </c>
      <c r="L1226" s="271">
        <v>0.28029999999999999</v>
      </c>
      <c r="M1226" s="271">
        <v>0.25559999999999999</v>
      </c>
      <c r="N1226" s="271">
        <v>0.25769999999999998</v>
      </c>
      <c r="O1226" s="271">
        <v>0.2409</v>
      </c>
      <c r="P1226" s="271">
        <v>0.2283</v>
      </c>
      <c r="Q1226" s="271">
        <v>0.2283</v>
      </c>
      <c r="R1226" s="271">
        <v>0.31230000000000002</v>
      </c>
      <c r="S1226" s="271">
        <v>0.31230000000000002</v>
      </c>
      <c r="T1226" s="271">
        <v>0.31309999999999999</v>
      </c>
      <c r="U1226" s="271">
        <v>0.31080000000000002</v>
      </c>
      <c r="V1226" s="271">
        <v>0.3054</v>
      </c>
      <c r="W1226" s="271">
        <v>0.30659999999999998</v>
      </c>
      <c r="X1226" s="271">
        <v>0.30099999999999999</v>
      </c>
      <c r="Y1226" s="271">
        <v>0.29759999999999998</v>
      </c>
      <c r="Z1226" s="273">
        <f ca="1">[1]ExtEntry!$R36</f>
        <v>0.29759999999999998</v>
      </c>
      <c r="AB1226" s="341">
        <v>-1489.7999999999988</v>
      </c>
      <c r="AC1226" s="341">
        <v>-3129.6</v>
      </c>
      <c r="AD1226" s="341">
        <v>-3489.5999999999995</v>
      </c>
      <c r="AE1226" s="341">
        <v>-3289.7999999999997</v>
      </c>
      <c r="AF1226" s="341">
        <v>-3289.7999999999997</v>
      </c>
      <c r="AG1226" s="341">
        <v>-3169.8</v>
      </c>
      <c r="AH1226" s="341">
        <v>-3109.7999999999997</v>
      </c>
      <c r="AI1226" s="341">
        <v>-3449.7999999999997</v>
      </c>
      <c r="AJ1226" s="341">
        <v>-3409.8000000000006</v>
      </c>
      <c r="AK1226" s="341">
        <v>-3389.7999999999993</v>
      </c>
      <c r="AL1226" s="341">
        <v>-3509.8</v>
      </c>
      <c r="AM1226" s="341">
        <v>-3532.9999999999995</v>
      </c>
      <c r="AN1226" s="341">
        <v>-3489.7999999999988</v>
      </c>
      <c r="AO1226" s="341">
        <v>-3729.7999999999993</v>
      </c>
      <c r="AP1226" s="341">
        <v>-3609.7999999999997</v>
      </c>
      <c r="AQ1226" s="341">
        <v>-4229.7999999999993</v>
      </c>
      <c r="AR1226" s="341">
        <v>-4289.7999999999993</v>
      </c>
      <c r="AS1226" s="341">
        <v>-4709.7999999999993</v>
      </c>
      <c r="AT1226" s="341">
        <v>-4489.8</v>
      </c>
      <c r="AU1226" s="341">
        <v>-4369.7999999999993</v>
      </c>
      <c r="AV1226" s="341">
        <f ca="1">Calc!W36</f>
        <v>-4369.7999999999993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0.38429999999999997</v>
      </c>
      <c r="G1227" s="271">
        <v>0.38229999999999997</v>
      </c>
      <c r="H1227" s="271">
        <v>0.38169999999999998</v>
      </c>
      <c r="I1227" s="271">
        <v>0.38490000000000002</v>
      </c>
      <c r="J1227" s="271">
        <v>0.38490000000000002</v>
      </c>
      <c r="K1227" s="271">
        <v>0.39050000000000001</v>
      </c>
      <c r="L1227" s="271">
        <v>0.38579999999999998</v>
      </c>
      <c r="M1227" s="271">
        <v>0.38829999999999998</v>
      </c>
      <c r="N1227" s="271">
        <v>0.38690000000000002</v>
      </c>
      <c r="O1227" s="271">
        <v>0.3851</v>
      </c>
      <c r="P1227" s="271">
        <v>0.3866</v>
      </c>
      <c r="Q1227" s="271">
        <v>0.3866</v>
      </c>
      <c r="R1227" s="271">
        <v>0.38450000000000001</v>
      </c>
      <c r="S1227" s="271">
        <v>0.38450000000000001</v>
      </c>
      <c r="T1227" s="271">
        <v>0.38080000000000003</v>
      </c>
      <c r="U1227" s="271">
        <v>0.38179999999999997</v>
      </c>
      <c r="V1227" s="271">
        <v>0.38030000000000003</v>
      </c>
      <c r="W1227" s="271">
        <v>0.37959999999999999</v>
      </c>
      <c r="X1227" s="271">
        <v>0.37819999999999998</v>
      </c>
      <c r="Y1227" s="271">
        <v>0.37559999999999999</v>
      </c>
      <c r="Z1227" s="273">
        <f ca="1">[1]ExtEntry!$R37</f>
        <v>0.37559999999999999</v>
      </c>
      <c r="AB1227" s="341">
        <v>-375.00000000000091</v>
      </c>
      <c r="AC1227" s="341">
        <v>-137.49999999999929</v>
      </c>
      <c r="AD1227" s="341">
        <v>-562.50000000000136</v>
      </c>
      <c r="AE1227" s="341">
        <v>-549.75</v>
      </c>
      <c r="AF1227" s="341">
        <v>-549.75</v>
      </c>
      <c r="AG1227" s="341">
        <v>-449.99999999999932</v>
      </c>
      <c r="AH1227" s="341">
        <v>574.99999999999886</v>
      </c>
      <c r="AI1227" s="341">
        <v>749.99999999999955</v>
      </c>
      <c r="AJ1227" s="341">
        <v>649.99999999999943</v>
      </c>
      <c r="AK1227" s="341">
        <v>920.25000000000023</v>
      </c>
      <c r="AL1227" s="341">
        <v>600.00000000000057</v>
      </c>
      <c r="AM1227" s="341">
        <v>-24.999999999999467</v>
      </c>
      <c r="AN1227" s="341">
        <v>225.24999999999906</v>
      </c>
      <c r="AO1227" s="341">
        <v>0</v>
      </c>
      <c r="AP1227" s="341">
        <v>337.49999999999949</v>
      </c>
      <c r="AQ1227" s="341">
        <v>574.99999999999886</v>
      </c>
      <c r="AR1227" s="341">
        <v>524.99999999999989</v>
      </c>
      <c r="AS1227" s="341">
        <v>1199.9999999999989</v>
      </c>
      <c r="AT1227" s="341">
        <v>562.49999999999909</v>
      </c>
      <c r="AU1227" s="341">
        <v>300.00000000000028</v>
      </c>
      <c r="AV1227" s="341">
        <f ca="1">Calc!W37</f>
        <v>300.00000000000028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1.5239</v>
      </c>
      <c r="G1228" s="271">
        <v>1.5295000000000001</v>
      </c>
      <c r="H1228" s="271">
        <v>1.5022</v>
      </c>
      <c r="I1228" s="271">
        <v>1.5072000000000001</v>
      </c>
      <c r="J1228" s="271">
        <v>1.5072000000000001</v>
      </c>
      <c r="K1228" s="271">
        <v>1.5014000000000001</v>
      </c>
      <c r="L1228" s="271">
        <v>1.5205</v>
      </c>
      <c r="M1228" s="271">
        <v>1.5095000000000001</v>
      </c>
      <c r="N1228" s="271">
        <v>1.5173000000000001</v>
      </c>
      <c r="O1228" s="271">
        <v>1.534</v>
      </c>
      <c r="P1228" s="271">
        <v>1.4995000000000001</v>
      </c>
      <c r="Q1228" s="271">
        <v>1.4995000000000001</v>
      </c>
      <c r="R1228" s="271">
        <v>1.5357000000000001</v>
      </c>
      <c r="S1228" s="271">
        <v>1.5357000000000001</v>
      </c>
      <c r="T1228" s="271">
        <v>1.5386</v>
      </c>
      <c r="U1228" s="271">
        <v>1.5354000000000001</v>
      </c>
      <c r="V1228" s="271">
        <v>1.5348999999999999</v>
      </c>
      <c r="W1228" s="271">
        <v>1.5329999999999999</v>
      </c>
      <c r="X1228" s="271">
        <v>1.5294000000000001</v>
      </c>
      <c r="Y1228" s="271">
        <v>1.522</v>
      </c>
      <c r="Z1228" s="273">
        <f ca="1">[1]ExtEntry!$R38</f>
        <v>1.522</v>
      </c>
      <c r="AB1228" s="341">
        <v>2669.6669999999995</v>
      </c>
      <c r="AC1228" s="341">
        <v>2279.2769999999996</v>
      </c>
      <c r="AD1228" s="341">
        <v>321.92160000000058</v>
      </c>
      <c r="AE1228" s="341">
        <v>795.19440000000043</v>
      </c>
      <c r="AF1228" s="341">
        <v>795.19440000000043</v>
      </c>
      <c r="AG1228" s="341">
        <v>1586.7852</v>
      </c>
      <c r="AH1228" s="341">
        <v>1528.5269999999996</v>
      </c>
      <c r="AI1228" s="341">
        <v>1588.5869999999998</v>
      </c>
      <c r="AJ1228" s="341">
        <v>2609.6069999999995</v>
      </c>
      <c r="AK1228" s="341">
        <v>3180.1770000000006</v>
      </c>
      <c r="AL1228" s="341">
        <v>-273.27300000000059</v>
      </c>
      <c r="AM1228" s="341">
        <v>-753.7529999999997</v>
      </c>
      <c r="AN1228" s="341">
        <v>-1499.0976000000003</v>
      </c>
      <c r="AO1228" s="341">
        <v>-1454.0526</v>
      </c>
      <c r="AP1228" s="341">
        <v>-2001.7998000000002</v>
      </c>
      <c r="AQ1228" s="341">
        <v>-1294.2930000000001</v>
      </c>
      <c r="AR1228" s="341">
        <v>-1293.6924000000001</v>
      </c>
      <c r="AS1228" s="341">
        <v>-1234.2330000000002</v>
      </c>
      <c r="AT1228" s="341">
        <v>-993.99299999999994</v>
      </c>
      <c r="AU1228" s="341">
        <v>-993.99299999999994</v>
      </c>
      <c r="AV1228" s="341">
        <f ca="1">Calc!W38</f>
        <v>-993.99299999999994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1.2659</v>
      </c>
      <c r="G1229" s="271">
        <v>1.272</v>
      </c>
      <c r="H1229" s="271">
        <v>1.2583</v>
      </c>
      <c r="I1229" s="271">
        <v>1.2589999999999999</v>
      </c>
      <c r="J1229" s="271">
        <v>1.2589999999999999</v>
      </c>
      <c r="K1229" s="271">
        <v>1.2181999999999999</v>
      </c>
      <c r="L1229" s="271">
        <v>1.2826</v>
      </c>
      <c r="M1229" s="271">
        <v>1.2496</v>
      </c>
      <c r="N1229" s="271">
        <v>1.2819</v>
      </c>
      <c r="O1229" s="271">
        <v>1.2917000000000001</v>
      </c>
      <c r="P1229" s="271">
        <v>1.2672000000000001</v>
      </c>
      <c r="Q1229" s="271">
        <v>1.2672000000000001</v>
      </c>
      <c r="R1229" s="271">
        <v>1.266</v>
      </c>
      <c r="S1229" s="271">
        <v>1.266</v>
      </c>
      <c r="T1229" s="271">
        <v>1.2617</v>
      </c>
      <c r="U1229" s="271">
        <v>1.2593000000000001</v>
      </c>
      <c r="V1229" s="271">
        <v>1.2605999999999999</v>
      </c>
      <c r="W1229" s="271">
        <v>1.2653000000000001</v>
      </c>
      <c r="X1229" s="271">
        <v>1.2625</v>
      </c>
      <c r="Y1229" s="271">
        <v>1.2568999999999999</v>
      </c>
      <c r="Z1229" s="273">
        <f ca="1">[1]ExtEntry!$R39</f>
        <v>1.2568999999999999</v>
      </c>
      <c r="AB1229" s="341">
        <v>38019.999999999993</v>
      </c>
      <c r="AC1229" s="341">
        <v>39519.999999999993</v>
      </c>
      <c r="AD1229" s="341">
        <v>44040.000000000007</v>
      </c>
      <c r="AE1229" s="341">
        <v>41420</v>
      </c>
      <c r="AF1229" s="341">
        <v>41420</v>
      </c>
      <c r="AG1229" s="341">
        <v>45420</v>
      </c>
      <c r="AH1229" s="341">
        <v>44180.000000000007</v>
      </c>
      <c r="AI1229" s="341">
        <v>45940</v>
      </c>
      <c r="AJ1229" s="341">
        <v>42160</v>
      </c>
      <c r="AK1229" s="341">
        <v>43080</v>
      </c>
      <c r="AL1229" s="341">
        <v>40400.000000000007</v>
      </c>
      <c r="AM1229" s="341">
        <v>40520.400000000009</v>
      </c>
      <c r="AN1229" s="341">
        <v>41340</v>
      </c>
      <c r="AO1229" s="341">
        <v>41920</v>
      </c>
      <c r="AP1229" s="341">
        <v>42960.000000000007</v>
      </c>
      <c r="AQ1229" s="341">
        <v>44440</v>
      </c>
      <c r="AR1229" s="341">
        <v>34560</v>
      </c>
      <c r="AS1229" s="341">
        <v>35660</v>
      </c>
      <c r="AT1229" s="341">
        <v>38307.200000000012</v>
      </c>
      <c r="AU1229" s="341">
        <v>38620.000000000007</v>
      </c>
      <c r="AV1229" s="341">
        <f ca="1">Calc!W39</f>
        <v>38620.000000000007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0.49030000000000001</v>
      </c>
      <c r="G1230" s="271">
        <v>0.49130000000000001</v>
      </c>
      <c r="H1230" s="271">
        <v>0.48909999999999998</v>
      </c>
      <c r="I1230" s="271">
        <v>0.48930000000000001</v>
      </c>
      <c r="J1230" s="271">
        <v>0.48930000000000001</v>
      </c>
      <c r="K1230" s="271">
        <v>0.48959999999999998</v>
      </c>
      <c r="L1230" s="271">
        <v>0.48949999999999999</v>
      </c>
      <c r="M1230" s="271">
        <v>0.48930000000000001</v>
      </c>
      <c r="N1230" s="271">
        <v>0.49</v>
      </c>
      <c r="O1230" s="271">
        <v>0.49099999999999999</v>
      </c>
      <c r="P1230" s="271">
        <v>0.49359999999999998</v>
      </c>
      <c r="Q1230" s="271">
        <v>0.48920000000000002</v>
      </c>
      <c r="R1230" s="271">
        <v>0.48959999999999998</v>
      </c>
      <c r="S1230" s="271">
        <v>0.48849999999999999</v>
      </c>
      <c r="T1230" s="271">
        <v>0.48530000000000001</v>
      </c>
      <c r="U1230" s="271">
        <v>0.48559999999999998</v>
      </c>
      <c r="V1230" s="271">
        <v>0.47920000000000001</v>
      </c>
      <c r="W1230" s="271">
        <v>0.48359999999999997</v>
      </c>
      <c r="X1230" s="271">
        <v>0.48139999999999999</v>
      </c>
      <c r="Y1230" s="271">
        <v>0.48020000000000002</v>
      </c>
      <c r="Z1230" s="273">
        <f ca="1">[1]ExtEntry!$R40</f>
        <v>0.48020000000000002</v>
      </c>
      <c r="AB1230" s="341">
        <v>310.49999999999989</v>
      </c>
      <c r="AC1230" s="341">
        <v>333.49999999999989</v>
      </c>
      <c r="AD1230" s="341">
        <v>341.50000000000011</v>
      </c>
      <c r="AE1230" s="341">
        <v>344.49999999999983</v>
      </c>
      <c r="AF1230" s="341">
        <v>344.49999999999983</v>
      </c>
      <c r="AG1230" s="341">
        <v>349.99999999999983</v>
      </c>
      <c r="AH1230" s="341">
        <v>349</v>
      </c>
      <c r="AI1230" s="341">
        <v>331.49999999999994</v>
      </c>
      <c r="AJ1230" s="341">
        <v>327.50000000000006</v>
      </c>
      <c r="AK1230" s="341">
        <v>311.99999999999994</v>
      </c>
      <c r="AL1230" s="341">
        <v>309.50000000000006</v>
      </c>
      <c r="AM1230" s="341">
        <v>274.49999999999994</v>
      </c>
      <c r="AN1230" s="341">
        <v>274</v>
      </c>
      <c r="AO1230" s="341">
        <v>320.00000000000011</v>
      </c>
      <c r="AP1230" s="341">
        <v>326.99999999999977</v>
      </c>
      <c r="AQ1230" s="341">
        <v>372.49999999999994</v>
      </c>
      <c r="AR1230" s="341">
        <v>367</v>
      </c>
      <c r="AS1230" s="341">
        <v>374.49999999999994</v>
      </c>
      <c r="AT1230" s="341">
        <v>368.99999999999994</v>
      </c>
      <c r="AU1230" s="341">
        <v>377.99999999999994</v>
      </c>
      <c r="AV1230" s="341">
        <f ca="1">Calc!W40</f>
        <v>377.99999999999994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1.1674</v>
      </c>
      <c r="G1231" s="271">
        <v>1.1654</v>
      </c>
      <c r="H1231" s="271">
        <v>1.1621999999999999</v>
      </c>
      <c r="I1231" s="271">
        <v>1.1626000000000001</v>
      </c>
      <c r="J1231" s="271">
        <v>1.1626000000000001</v>
      </c>
      <c r="K1231" s="271">
        <v>1.1636</v>
      </c>
      <c r="L1231" s="271">
        <v>1.1642999999999999</v>
      </c>
      <c r="M1231" s="271">
        <v>1.1625000000000001</v>
      </c>
      <c r="N1231" s="271">
        <v>1.1649</v>
      </c>
      <c r="O1231" s="271">
        <v>1.1666000000000001</v>
      </c>
      <c r="P1231" s="271">
        <v>1.17</v>
      </c>
      <c r="Q1231" s="271">
        <v>1.1682999999999999</v>
      </c>
      <c r="R1231" s="271">
        <v>1.1694</v>
      </c>
      <c r="S1231" s="271">
        <v>1.1639999999999999</v>
      </c>
      <c r="T1231" s="271">
        <v>1.1641999999999999</v>
      </c>
      <c r="U1231" s="271">
        <v>1.1692</v>
      </c>
      <c r="V1231" s="271">
        <v>1.1664000000000001</v>
      </c>
      <c r="W1231" s="271">
        <v>1.1682999999999999</v>
      </c>
      <c r="X1231" s="271">
        <v>1.1718999999999999</v>
      </c>
      <c r="Y1231" s="271">
        <v>1.1747000000000001</v>
      </c>
      <c r="Z1231" s="273">
        <f ca="1">[1]ExtEntry!$R41</f>
        <v>1.1747000000000001</v>
      </c>
      <c r="AB1231" s="341">
        <v>3592.8000000000084</v>
      </c>
      <c r="AC1231" s="341">
        <v>3118.75</v>
      </c>
      <c r="AD1231" s="341">
        <v>1996</v>
      </c>
      <c r="AE1231" s="341">
        <v>2220.5500000000084</v>
      </c>
      <c r="AF1231" s="341">
        <v>2220.5500000000084</v>
      </c>
      <c r="AG1231" s="341">
        <v>648.70000000000573</v>
      </c>
      <c r="AH1231" s="341">
        <v>274.45000000000567</v>
      </c>
      <c r="AI1231" s="341">
        <v>-299.39999999999714</v>
      </c>
      <c r="AJ1231" s="341">
        <v>1971.0500000000086</v>
      </c>
      <c r="AK1231" s="341">
        <v>1946.1000000000029</v>
      </c>
      <c r="AL1231" s="341">
        <v>499</v>
      </c>
      <c r="AM1231" s="341">
        <v>-2320.3499999999885</v>
      </c>
      <c r="AN1231" s="341">
        <v>-998</v>
      </c>
      <c r="AO1231" s="341">
        <v>973.05000000000848</v>
      </c>
      <c r="AP1231" s="341">
        <v>-174.64999999999716</v>
      </c>
      <c r="AQ1231" s="341">
        <v>-998</v>
      </c>
      <c r="AR1231" s="341">
        <v>-1072.8499999999885</v>
      </c>
      <c r="AS1231" s="341">
        <v>-4366.25</v>
      </c>
      <c r="AT1231" s="341">
        <v>-6312.3499999999885</v>
      </c>
      <c r="AU1231" s="341">
        <v>-5763.4499999999916</v>
      </c>
      <c r="AV1231" s="341">
        <f ca="1">Calc!W41</f>
        <v>-5763.4499999999916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1.4641</v>
      </c>
      <c r="G1232" s="271">
        <v>1.4814000000000001</v>
      </c>
      <c r="H1232" s="271">
        <v>1.4712000000000001</v>
      </c>
      <c r="I1232" s="271">
        <v>1.4666999999999999</v>
      </c>
      <c r="J1232" s="271">
        <v>1.4666999999999999</v>
      </c>
      <c r="K1232" s="271">
        <v>1.4686999999999999</v>
      </c>
      <c r="L1232" s="271">
        <v>1.4572000000000001</v>
      </c>
      <c r="M1232" s="271">
        <v>1.4756</v>
      </c>
      <c r="N1232" s="271">
        <v>1.484</v>
      </c>
      <c r="O1232" s="271">
        <v>1.4814000000000001</v>
      </c>
      <c r="P1232" s="271">
        <v>1.4755</v>
      </c>
      <c r="Q1232" s="271">
        <v>1.4805999999999999</v>
      </c>
      <c r="R1232" s="271">
        <v>1.4825999999999999</v>
      </c>
      <c r="S1232" s="271">
        <v>1.4825999999999999</v>
      </c>
      <c r="T1232" s="271">
        <v>1.4856</v>
      </c>
      <c r="U1232" s="271">
        <v>1.4826999999999999</v>
      </c>
      <c r="V1232" s="271">
        <v>1.4746999999999999</v>
      </c>
      <c r="W1232" s="271">
        <v>1.4789000000000001</v>
      </c>
      <c r="X1232" s="271">
        <v>1.4729000000000001</v>
      </c>
      <c r="Y1232" s="271">
        <v>1.4705999999999999</v>
      </c>
      <c r="Z1232" s="273">
        <f ca="1">[1]ExtEntry!$R42</f>
        <v>1.4705999999999999</v>
      </c>
      <c r="AB1232" s="341">
        <v>-284.99999999999659</v>
      </c>
      <c r="AC1232" s="341">
        <v>720.00000000000068</v>
      </c>
      <c r="AD1232" s="341">
        <v>630.0000000000025</v>
      </c>
      <c r="AE1232" s="341">
        <v>450.00000000000108</v>
      </c>
      <c r="AF1232" s="341">
        <v>450.00000000000108</v>
      </c>
      <c r="AG1232" s="341">
        <v>509.99999999999977</v>
      </c>
      <c r="AH1232" s="341">
        <v>360.00000000000296</v>
      </c>
      <c r="AI1232" s="341">
        <v>750</v>
      </c>
      <c r="AJ1232" s="341">
        <v>240.00000000000023</v>
      </c>
      <c r="AK1232" s="341">
        <v>570.00000000000387</v>
      </c>
      <c r="AL1232" s="341">
        <v>-599.99999999999784</v>
      </c>
      <c r="AM1232" s="341">
        <v>-1169.9999999999964</v>
      </c>
      <c r="AN1232" s="341">
        <v>-1230.0000000000005</v>
      </c>
      <c r="AO1232" s="341">
        <v>-959.99999999999557</v>
      </c>
      <c r="AP1232" s="341">
        <v>-1619.9999999999975</v>
      </c>
      <c r="AQ1232" s="341">
        <v>-1019.9999999999995</v>
      </c>
      <c r="AR1232" s="341">
        <v>-1619.9999999999975</v>
      </c>
      <c r="AS1232" s="341">
        <v>-1649.9999999999968</v>
      </c>
      <c r="AT1232" s="341">
        <v>-1154.9999999999993</v>
      </c>
      <c r="AU1232" s="341">
        <v>-1769.9999999999995</v>
      </c>
      <c r="AV1232" s="341">
        <f ca="1">Calc!W42</f>
        <v>-1769.9999999999995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1.6242000000000001</v>
      </c>
      <c r="G1233" s="271">
        <v>1.6187</v>
      </c>
      <c r="H1233" s="271">
        <v>1.6237999999999999</v>
      </c>
      <c r="I1233" s="271">
        <v>1.6235999999999999</v>
      </c>
      <c r="J1233" s="271">
        <v>1.6235999999999999</v>
      </c>
      <c r="K1233" s="271">
        <v>1.6314</v>
      </c>
      <c r="L1233" s="271">
        <v>1.6312</v>
      </c>
      <c r="M1233" s="271">
        <v>1.631</v>
      </c>
      <c r="N1233" s="271">
        <v>1.6291</v>
      </c>
      <c r="O1233" s="271">
        <v>1.6304000000000001</v>
      </c>
      <c r="P1233" s="271">
        <v>1.6288</v>
      </c>
      <c r="Q1233" s="271">
        <v>1.6288</v>
      </c>
      <c r="R1233" s="271">
        <v>1.5926</v>
      </c>
      <c r="S1233" s="271">
        <v>1.5926</v>
      </c>
      <c r="T1233" s="271">
        <v>1.5931999999999999</v>
      </c>
      <c r="U1233" s="271">
        <v>1.5936999999999999</v>
      </c>
      <c r="V1233" s="271">
        <v>1.593</v>
      </c>
      <c r="W1233" s="271">
        <v>1.5929</v>
      </c>
      <c r="X1233" s="271">
        <v>1.5918000000000001</v>
      </c>
      <c r="Y1233" s="271">
        <v>1.5848</v>
      </c>
      <c r="Z1233" s="273">
        <f ca="1">[1]ExtEntry!$R43</f>
        <v>1.5848</v>
      </c>
      <c r="AB1233" s="341">
        <v>-299.99999999999892</v>
      </c>
      <c r="AC1233" s="341">
        <v>179.09999999999826</v>
      </c>
      <c r="AD1233" s="341">
        <v>89.999999999998082</v>
      </c>
      <c r="AE1233" s="341">
        <v>4079.9999999999982</v>
      </c>
      <c r="AF1233" s="341">
        <v>4079.9999999999982</v>
      </c>
      <c r="AG1233" s="341">
        <v>3210.0000000000009</v>
      </c>
      <c r="AH1233" s="341">
        <v>5010</v>
      </c>
      <c r="AI1233" s="341">
        <v>4500</v>
      </c>
      <c r="AJ1233" s="341">
        <v>5369.9999999999973</v>
      </c>
      <c r="AK1233" s="341">
        <v>5700.0000000000009</v>
      </c>
      <c r="AL1233" s="341">
        <v>4200.0000000000009</v>
      </c>
      <c r="AM1233" s="341">
        <v>3029.9999999999995</v>
      </c>
      <c r="AN1233" s="341">
        <v>3119.9999999999973</v>
      </c>
      <c r="AO1233" s="341">
        <v>2670.0000000000018</v>
      </c>
      <c r="AP1233" s="341">
        <v>2789.9999999999991</v>
      </c>
      <c r="AQ1233" s="341">
        <v>3150.0000000000023</v>
      </c>
      <c r="AR1233" s="341">
        <v>2609.9999999999977</v>
      </c>
      <c r="AS1233" s="341">
        <v>1650.000000000002</v>
      </c>
      <c r="AT1233" s="341">
        <v>1845.0000000000007</v>
      </c>
      <c r="AU1233" s="341">
        <v>1680.0000000000016</v>
      </c>
      <c r="AV1233" s="341">
        <f ca="1">Calc!W43</f>
        <v>1680.0000000000016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2.0663999999999998</v>
      </c>
      <c r="G1234" s="271">
        <v>2.0655999999999999</v>
      </c>
      <c r="H1234" s="271">
        <v>2.0640999999999998</v>
      </c>
      <c r="I1234" s="271">
        <v>2.0648</v>
      </c>
      <c r="J1234" s="271">
        <v>2.0648</v>
      </c>
      <c r="K1234" s="271">
        <v>2.0625</v>
      </c>
      <c r="L1234" s="271">
        <v>2.0666000000000002</v>
      </c>
      <c r="M1234" s="271">
        <v>2.0657000000000001</v>
      </c>
      <c r="N1234" s="271">
        <v>2.0691999999999999</v>
      </c>
      <c r="O1234" s="271">
        <v>2.0699999999999998</v>
      </c>
      <c r="P1234" s="271">
        <v>2.0649999999999999</v>
      </c>
      <c r="Q1234" s="271">
        <v>2.0649999999999999</v>
      </c>
      <c r="R1234" s="271">
        <v>2.0396999999999998</v>
      </c>
      <c r="S1234" s="271">
        <v>2.0396999999999998</v>
      </c>
      <c r="T1234" s="271">
        <v>2.0392000000000001</v>
      </c>
      <c r="U1234" s="271">
        <v>2.0363000000000002</v>
      </c>
      <c r="V1234" s="271">
        <v>2.0379</v>
      </c>
      <c r="W1234" s="271">
        <v>2.0385</v>
      </c>
      <c r="X1234" s="271">
        <v>2.0388999999999999</v>
      </c>
      <c r="Y1234" s="271">
        <v>2.0426000000000002</v>
      </c>
      <c r="Z1234" s="273">
        <f ca="1">[1]ExtEntry!$R44</f>
        <v>2.0426000000000002</v>
      </c>
      <c r="AB1234" s="341">
        <v>-51.349999999999909</v>
      </c>
      <c r="AC1234" s="341">
        <v>-32.049999999999841</v>
      </c>
      <c r="AD1234" s="341">
        <v>-37.642000000000166</v>
      </c>
      <c r="AE1234" s="341">
        <v>-67.267999999999688</v>
      </c>
      <c r="AF1234" s="341">
        <v>-67.267999999999688</v>
      </c>
      <c r="AG1234" s="341">
        <v>-126.10000000000014</v>
      </c>
      <c r="AH1234" s="341">
        <v>100.90000000000032</v>
      </c>
      <c r="AI1234" s="341">
        <v>151.60000000000025</v>
      </c>
      <c r="AJ1234" s="341">
        <v>130.90000000000032</v>
      </c>
      <c r="AK1234" s="341">
        <v>84.680000000000177</v>
      </c>
      <c r="AL1234" s="341">
        <v>-26.399999999999864</v>
      </c>
      <c r="AM1234" s="341">
        <v>-87.767999999999802</v>
      </c>
      <c r="AN1234" s="341">
        <v>-41.999999999999886</v>
      </c>
      <c r="AO1234" s="341">
        <v>-24.200000000000159</v>
      </c>
      <c r="AP1234" s="341">
        <v>20.199999999999818</v>
      </c>
      <c r="AQ1234" s="341">
        <v>98.899999999999864</v>
      </c>
      <c r="AR1234" s="341">
        <v>104.60000000000036</v>
      </c>
      <c r="AS1234" s="341">
        <v>112.8000000000003</v>
      </c>
      <c r="AT1234" s="341">
        <v>319.00000000000034</v>
      </c>
      <c r="AU1234" s="341">
        <v>594.30000000000007</v>
      </c>
      <c r="AV1234" s="341">
        <f ca="1">Calc!W44</f>
        <v>594.30000000000007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1.2370000000000001</v>
      </c>
      <c r="G1235" s="271">
        <v>1.2366999999999999</v>
      </c>
      <c r="H1235" s="271">
        <v>1.2361</v>
      </c>
      <c r="I1235" s="271">
        <v>1.2379</v>
      </c>
      <c r="J1235" s="271">
        <v>1.2379</v>
      </c>
      <c r="K1235" s="271">
        <v>1.2394000000000001</v>
      </c>
      <c r="L1235" s="271">
        <v>1.2344999999999999</v>
      </c>
      <c r="M1235" s="271">
        <v>1.2375</v>
      </c>
      <c r="N1235" s="271">
        <v>1.2362</v>
      </c>
      <c r="O1235" s="271">
        <v>1.2353000000000001</v>
      </c>
      <c r="P1235" s="271">
        <v>1.2345999999999999</v>
      </c>
      <c r="Q1235" s="271">
        <v>1.2345999999999999</v>
      </c>
      <c r="R1235" s="271">
        <v>1.2624</v>
      </c>
      <c r="S1235" s="271">
        <v>1.2624</v>
      </c>
      <c r="T1235" s="271">
        <v>1.2613000000000001</v>
      </c>
      <c r="U1235" s="271">
        <v>1.2579</v>
      </c>
      <c r="V1235" s="271">
        <v>1.2579</v>
      </c>
      <c r="W1235" s="271">
        <v>1.2586999999999999</v>
      </c>
      <c r="X1235" s="271">
        <v>1.26</v>
      </c>
      <c r="Y1235" s="271">
        <v>1.2664</v>
      </c>
      <c r="Z1235" s="273">
        <f ca="1">[1]ExtEntry!$R45</f>
        <v>1.2664</v>
      </c>
      <c r="AB1235" s="341">
        <v>4629.9999999999955</v>
      </c>
      <c r="AC1235" s="341">
        <v>3981.2000000000012</v>
      </c>
      <c r="AD1235" s="341">
        <v>5687.5</v>
      </c>
      <c r="AE1235" s="341">
        <v>-1259.9999999999909</v>
      </c>
      <c r="AF1235" s="341">
        <v>-1259.9999999999909</v>
      </c>
      <c r="AG1235" s="341">
        <v>-6509.9999999999909</v>
      </c>
      <c r="AH1235" s="341">
        <v>370.00000000000455</v>
      </c>
      <c r="AI1235" s="341">
        <v>3270.00000000001</v>
      </c>
      <c r="AJ1235" s="341">
        <v>4009.9999999999909</v>
      </c>
      <c r="AK1235" s="341">
        <v>2800.0000000000114</v>
      </c>
      <c r="AL1235" s="341">
        <v>-4379.9999999999955</v>
      </c>
      <c r="AM1235" s="341">
        <v>-8444.9999999999927</v>
      </c>
      <c r="AN1235" s="341">
        <v>-5030.0000000000009</v>
      </c>
      <c r="AO1235" s="341">
        <v>-3860.0000000000136</v>
      </c>
      <c r="AP1235" s="341">
        <v>-39.999999999992042</v>
      </c>
      <c r="AQ1235" s="341">
        <v>11930.000000000007</v>
      </c>
      <c r="AR1235" s="341">
        <v>15629.999999999996</v>
      </c>
      <c r="AS1235" s="341">
        <v>25170.000000000015</v>
      </c>
      <c r="AT1235" s="341">
        <v>23560.000000000004</v>
      </c>
      <c r="AU1235" s="341">
        <v>24129.999999999996</v>
      </c>
      <c r="AV1235" s="341">
        <f ca="1">Calc!W45</f>
        <v>24129.999999999996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0.99990000000000001</v>
      </c>
      <c r="G1236" s="271">
        <v>1.0044</v>
      </c>
      <c r="H1236" s="271">
        <v>1.0096000000000001</v>
      </c>
      <c r="I1236" s="271">
        <v>1.0092000000000001</v>
      </c>
      <c r="J1236" s="271">
        <v>1.0092000000000001</v>
      </c>
      <c r="K1236" s="271">
        <v>1.0081</v>
      </c>
      <c r="L1236" s="271">
        <v>1.0075000000000001</v>
      </c>
      <c r="M1236" s="271">
        <v>1.0093000000000001</v>
      </c>
      <c r="N1236" s="271">
        <v>1.0069999999999999</v>
      </c>
      <c r="O1236" s="271">
        <v>1.0045999999999999</v>
      </c>
      <c r="P1236" s="271">
        <v>1.0021</v>
      </c>
      <c r="Q1236" s="271">
        <v>1.0095000000000001</v>
      </c>
      <c r="R1236" s="271">
        <v>1.0101</v>
      </c>
      <c r="S1236" s="271">
        <v>1.0101</v>
      </c>
      <c r="T1236" s="271">
        <v>1.0039</v>
      </c>
      <c r="U1236" s="271">
        <v>1.0089999999999999</v>
      </c>
      <c r="V1236" s="271">
        <v>1.0072000000000001</v>
      </c>
      <c r="W1236" s="271">
        <v>1.0078</v>
      </c>
      <c r="X1236" s="271">
        <v>1.0031000000000001</v>
      </c>
      <c r="Y1236" s="271">
        <v>1.0064</v>
      </c>
      <c r="Z1236" s="273">
        <f ca="1">[1]ExtEntry!$R46</f>
        <v>1.0064</v>
      </c>
      <c r="AB1236" s="341">
        <v>73.255000000002113</v>
      </c>
      <c r="AC1236" s="341">
        <v>335.7550000000021</v>
      </c>
      <c r="AD1236" s="341">
        <v>108.25500000000012</v>
      </c>
      <c r="AE1236" s="341">
        <v>108.25500000000012</v>
      </c>
      <c r="AF1236" s="341">
        <v>108.25500000000012</v>
      </c>
      <c r="AG1236" s="341">
        <v>143.25500000000062</v>
      </c>
      <c r="AH1236" s="341">
        <v>440.75500000000113</v>
      </c>
      <c r="AI1236" s="341">
        <v>90.755000000001118</v>
      </c>
      <c r="AJ1236" s="341">
        <v>-49.244999999998385</v>
      </c>
      <c r="AK1236" s="341">
        <v>160.7550000000021</v>
      </c>
      <c r="AL1236" s="341">
        <v>-241.74499999999989</v>
      </c>
      <c r="AM1236" s="341">
        <v>-679.24499999999989</v>
      </c>
      <c r="AN1236" s="341">
        <v>-504.24499999999989</v>
      </c>
      <c r="AO1236" s="341">
        <v>-504.24499999999989</v>
      </c>
      <c r="AP1236" s="341">
        <v>-224.24499999999838</v>
      </c>
      <c r="AQ1236" s="341">
        <v>-714.24499999999784</v>
      </c>
      <c r="AR1236" s="341">
        <v>-574.24499999999841</v>
      </c>
      <c r="AS1236" s="341">
        <v>-346.74499999999887</v>
      </c>
      <c r="AT1236" s="341">
        <v>-661.74499999999841</v>
      </c>
      <c r="AU1236" s="341">
        <v>-346.74499999999887</v>
      </c>
      <c r="AV1236" s="341">
        <f ca="1">Calc!W46</f>
        <v>-346.74499999999887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1.5165</v>
      </c>
      <c r="G1237" s="271">
        <v>1.5132000000000001</v>
      </c>
      <c r="H1237" s="271">
        <v>1.5198</v>
      </c>
      <c r="I1237" s="271">
        <v>1.5194000000000001</v>
      </c>
      <c r="J1237" s="271">
        <v>1.5194000000000001</v>
      </c>
      <c r="K1237" s="271">
        <v>1.5336000000000001</v>
      </c>
      <c r="L1237" s="271">
        <v>1.5129999999999999</v>
      </c>
      <c r="M1237" s="271">
        <v>1.5233000000000001</v>
      </c>
      <c r="N1237" s="271">
        <v>1.5146999999999999</v>
      </c>
      <c r="O1237" s="271">
        <v>1.5104</v>
      </c>
      <c r="P1237" s="271">
        <v>1.5154000000000001</v>
      </c>
      <c r="Q1237" s="271">
        <v>1.5154000000000001</v>
      </c>
      <c r="R1237" s="271">
        <v>1.5855999999999999</v>
      </c>
      <c r="S1237" s="271">
        <v>1.5855999999999999</v>
      </c>
      <c r="T1237" s="271">
        <v>1.5791999999999999</v>
      </c>
      <c r="U1237" s="271">
        <v>1.5765</v>
      </c>
      <c r="V1237" s="271">
        <v>1.5703</v>
      </c>
      <c r="W1237" s="271">
        <v>1.5747</v>
      </c>
      <c r="X1237" s="271">
        <v>1.5786</v>
      </c>
      <c r="Y1237" s="271">
        <v>1.5868</v>
      </c>
      <c r="Z1237" s="273">
        <f ca="1">[1]ExtEntry!$R47</f>
        <v>1.5868</v>
      </c>
      <c r="AB1237" s="341">
        <v>-20040.950000000004</v>
      </c>
      <c r="AC1237" s="341">
        <v>-22537.025000000009</v>
      </c>
      <c r="AD1237" s="341">
        <v>-22392.325000000004</v>
      </c>
      <c r="AE1237" s="341">
        <v>-22428.500000000004</v>
      </c>
      <c r="AF1237" s="341">
        <v>-22428.500000000004</v>
      </c>
      <c r="AG1237" s="341">
        <v>-23152.000000000007</v>
      </c>
      <c r="AH1237" s="341">
        <v>-21849.700000000004</v>
      </c>
      <c r="AI1237" s="341">
        <v>-20330.350000000002</v>
      </c>
      <c r="AJ1237" s="341">
        <v>-19317.450000000004</v>
      </c>
      <c r="AK1237" s="341">
        <v>-18087.500000000007</v>
      </c>
      <c r="AL1237" s="341">
        <v>-21705.000000000007</v>
      </c>
      <c r="AM1237" s="341">
        <v>-23549.925000000007</v>
      </c>
      <c r="AN1237" s="341">
        <v>-23984.025000000001</v>
      </c>
      <c r="AO1237" s="341">
        <v>-23658.450000000004</v>
      </c>
      <c r="AP1237" s="341">
        <v>-22066.750000000004</v>
      </c>
      <c r="AQ1237" s="341">
        <v>-11275.228000000006</v>
      </c>
      <c r="AR1237" s="341">
        <v>-12414.688000000011</v>
      </c>
      <c r="AS1237" s="341">
        <v>-15561.768000000011</v>
      </c>
      <c r="AT1237" s="341">
        <v>-12468.948000000009</v>
      </c>
      <c r="AU1237" s="341">
        <v>-14585.088000000003</v>
      </c>
      <c r="AV1237" s="341">
        <f ca="1">Calc!W47</f>
        <v>-14585.088000000003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1.1746000000000001</v>
      </c>
      <c r="G1238" s="271">
        <v>1.1751</v>
      </c>
      <c r="H1238" s="271">
        <v>1.1742999999999999</v>
      </c>
      <c r="I1238" s="271">
        <v>1.1741999999999999</v>
      </c>
      <c r="J1238" s="271">
        <v>1.1741999999999999</v>
      </c>
      <c r="K1238" s="271">
        <v>1.1746000000000001</v>
      </c>
      <c r="L1238" s="271">
        <v>1.171</v>
      </c>
      <c r="M1238" s="271">
        <v>1.173</v>
      </c>
      <c r="N1238" s="271">
        <v>1.1719999999999999</v>
      </c>
      <c r="O1238" s="271">
        <v>1.1717</v>
      </c>
      <c r="P1238" s="271">
        <v>1.1721999999999999</v>
      </c>
      <c r="Q1238" s="271">
        <v>1.1721999999999999</v>
      </c>
      <c r="R1238" s="271">
        <v>1.2028000000000001</v>
      </c>
      <c r="S1238" s="271">
        <v>1.2013</v>
      </c>
      <c r="T1238" s="271">
        <v>1.2005999999999999</v>
      </c>
      <c r="U1238" s="271">
        <v>1.1936</v>
      </c>
      <c r="V1238" s="271">
        <v>1.1934</v>
      </c>
      <c r="W1238" s="271">
        <v>1.1973</v>
      </c>
      <c r="X1238" s="271">
        <v>1.1987000000000001</v>
      </c>
      <c r="Y1238" s="271">
        <v>1.21</v>
      </c>
      <c r="Z1238" s="273">
        <f ca="1">[1]ExtEntry!$R48</f>
        <v>1.21</v>
      </c>
      <c r="AB1238" s="341">
        <v>25479.400007999997</v>
      </c>
      <c r="AC1238" s="341">
        <v>24524.200008000003</v>
      </c>
      <c r="AD1238" s="341">
        <v>23782.720008000008</v>
      </c>
      <c r="AE1238" s="341">
        <v>21800.200008</v>
      </c>
      <c r="AF1238" s="341">
        <v>21800.200008</v>
      </c>
      <c r="AG1238" s="341">
        <v>21058.600008000005</v>
      </c>
      <c r="AH1238" s="341">
        <v>21793.000008000006</v>
      </c>
      <c r="AI1238" s="341">
        <v>22700.200008</v>
      </c>
      <c r="AJ1238" s="341">
        <v>23250.424007999998</v>
      </c>
      <c r="AK1238" s="341">
        <v>25201.000008000003</v>
      </c>
      <c r="AL1238" s="341">
        <v>22551.400007999997</v>
      </c>
      <c r="AM1238" s="341">
        <v>21824.224007999997</v>
      </c>
      <c r="AN1238" s="341">
        <v>23043.400008000001</v>
      </c>
      <c r="AO1238" s="341">
        <v>23751.400007999997</v>
      </c>
      <c r="AP1238" s="341">
        <v>24641.800008000006</v>
      </c>
      <c r="AQ1238" s="341">
        <v>34133.800007999998</v>
      </c>
      <c r="AR1238" s="341">
        <v>31978.600008000005</v>
      </c>
      <c r="AS1238" s="341">
        <v>39874.600008000001</v>
      </c>
      <c r="AT1238" s="341">
        <v>37477.000007999995</v>
      </c>
      <c r="AU1238" s="341">
        <v>37546.600008000001</v>
      </c>
      <c r="AV1238" s="341">
        <f ca="1">Calc!W48</f>
        <v>37546.600008000001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0.90259999999999996</v>
      </c>
      <c r="G1239" s="271">
        <v>0.90259999999999996</v>
      </c>
      <c r="H1239" s="271">
        <v>0.90339999999999998</v>
      </c>
      <c r="I1239" s="271">
        <v>0.90300000000000002</v>
      </c>
      <c r="J1239" s="271">
        <v>0.90300000000000002</v>
      </c>
      <c r="K1239" s="271">
        <v>0.9032</v>
      </c>
      <c r="L1239" s="271">
        <v>0.90590000000000004</v>
      </c>
      <c r="M1239" s="271">
        <v>0.90539999999999998</v>
      </c>
      <c r="N1239" s="271">
        <v>0.90480000000000005</v>
      </c>
      <c r="O1239" s="271">
        <v>0.90380000000000005</v>
      </c>
      <c r="P1239" s="271">
        <v>0.90349999999999997</v>
      </c>
      <c r="Q1239" s="271">
        <v>0.90259999999999996</v>
      </c>
      <c r="R1239" s="271">
        <v>0.90410000000000001</v>
      </c>
      <c r="S1239" s="271">
        <v>0.90410000000000001</v>
      </c>
      <c r="T1239" s="271">
        <v>0.90880000000000005</v>
      </c>
      <c r="U1239" s="271">
        <v>0.90749999999999997</v>
      </c>
      <c r="V1239" s="271">
        <v>0.90610000000000002</v>
      </c>
      <c r="W1239" s="271">
        <v>0.90400000000000003</v>
      </c>
      <c r="X1239" s="271">
        <v>0.90510000000000002</v>
      </c>
      <c r="Y1239" s="271">
        <v>0.90549999999999997</v>
      </c>
      <c r="Z1239" s="273">
        <f ca="1">[1]ExtEntry!$R49</f>
        <v>0.90549999999999997</v>
      </c>
      <c r="AB1239" s="341">
        <v>9367.5000000000018</v>
      </c>
      <c r="AC1239" s="341">
        <v>9802.5</v>
      </c>
      <c r="AD1239" s="341">
        <v>9087</v>
      </c>
      <c r="AE1239" s="341">
        <v>9986.2500000000036</v>
      </c>
      <c r="AF1239" s="341">
        <v>9986.2500000000036</v>
      </c>
      <c r="AG1239" s="341">
        <v>10140.000000000002</v>
      </c>
      <c r="AH1239" s="341">
        <v>9990</v>
      </c>
      <c r="AI1239" s="341">
        <v>10080.000000000004</v>
      </c>
      <c r="AJ1239" s="341">
        <v>9600.0000000000036</v>
      </c>
      <c r="AK1239" s="341">
        <v>9832.5</v>
      </c>
      <c r="AL1239" s="341">
        <v>9861.0000000000018</v>
      </c>
      <c r="AM1239" s="341">
        <v>8085.0000000000009</v>
      </c>
      <c r="AN1239" s="341">
        <v>7743.0000000000036</v>
      </c>
      <c r="AO1239" s="341">
        <v>7815.0000000000009</v>
      </c>
      <c r="AP1239" s="341">
        <v>7620.0000000000027</v>
      </c>
      <c r="AQ1239" s="341">
        <v>7545.0000000000018</v>
      </c>
      <c r="AR1239" s="341">
        <v>7635</v>
      </c>
      <c r="AS1239" s="341">
        <v>7485.0000000000027</v>
      </c>
      <c r="AT1239" s="341">
        <v>8062.5</v>
      </c>
      <c r="AU1239" s="341">
        <v>7745.2500000000036</v>
      </c>
      <c r="AV1239" s="341">
        <f ca="1">Calc!W49</f>
        <v>7745.2500000000036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1.0316000000000001</v>
      </c>
      <c r="G1240" s="271">
        <v>1.0321</v>
      </c>
      <c r="H1240" s="271">
        <v>1.032</v>
      </c>
      <c r="I1240" s="271">
        <v>1.0327</v>
      </c>
      <c r="J1240" s="271">
        <v>1.0327</v>
      </c>
      <c r="K1240" s="271">
        <v>1.0345</v>
      </c>
      <c r="L1240" s="271">
        <v>1.0333000000000001</v>
      </c>
      <c r="M1240" s="271">
        <v>1.0326</v>
      </c>
      <c r="N1240" s="271">
        <v>1.0329999999999999</v>
      </c>
      <c r="O1240" s="271">
        <v>1.0345</v>
      </c>
      <c r="P1240" s="271">
        <v>1.0303</v>
      </c>
      <c r="Q1240" s="271">
        <v>1.0328999999999999</v>
      </c>
      <c r="R1240" s="271">
        <v>1.0333000000000001</v>
      </c>
      <c r="S1240" s="271">
        <v>1.0333000000000001</v>
      </c>
      <c r="T1240" s="271">
        <v>1.0325</v>
      </c>
      <c r="U1240" s="271">
        <v>1.0319</v>
      </c>
      <c r="V1240" s="271">
        <v>1.0327999999999999</v>
      </c>
      <c r="W1240" s="271">
        <v>1.0331999999999999</v>
      </c>
      <c r="X1240" s="271">
        <v>1.0330999999999999</v>
      </c>
      <c r="Y1240" s="271">
        <v>1.0327999999999999</v>
      </c>
      <c r="Z1240" s="273">
        <f ca="1">[1]ExtEntry!$R50</f>
        <v>1.0327999999999999</v>
      </c>
      <c r="AB1240" s="341">
        <v>2399.9999999999914</v>
      </c>
      <c r="AC1240" s="341">
        <v>2200.0000000000027</v>
      </c>
      <c r="AD1240" s="341">
        <v>3599.9999999999945</v>
      </c>
      <c r="AE1240" s="341">
        <v>4399.9999999999918</v>
      </c>
      <c r="AF1240" s="341">
        <v>4399.9999999999918</v>
      </c>
      <c r="AG1240" s="341">
        <v>3399.9999999999914</v>
      </c>
      <c r="AH1240" s="341">
        <v>5000</v>
      </c>
      <c r="AI1240" s="341">
        <v>4599.9999999999945</v>
      </c>
      <c r="AJ1240" s="341">
        <v>4799.9999999999973</v>
      </c>
      <c r="AK1240" s="341">
        <v>4799.9999999999973</v>
      </c>
      <c r="AL1240" s="341">
        <v>3799.9999999999973</v>
      </c>
      <c r="AM1240" s="341">
        <v>2399.9999999999914</v>
      </c>
      <c r="AN1240" s="341">
        <v>2599.9999999999945</v>
      </c>
      <c r="AO1240" s="341">
        <v>4799.9999999999973</v>
      </c>
      <c r="AP1240" s="341">
        <v>5799.9999999999973</v>
      </c>
      <c r="AQ1240" s="341">
        <v>5399.9999999999918</v>
      </c>
      <c r="AR1240" s="341">
        <v>5399.9999999999918</v>
      </c>
      <c r="AS1240" s="341">
        <v>5200.0000000000027</v>
      </c>
      <c r="AT1240" s="341">
        <v>4599.9999999999945</v>
      </c>
      <c r="AU1240" s="341">
        <v>4399.9999999999918</v>
      </c>
      <c r="AV1240" s="341">
        <f ca="1">Calc!W50</f>
        <v>4399.9999999999918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0.92420000000000002</v>
      </c>
      <c r="G1241" s="271">
        <v>0.92700000000000005</v>
      </c>
      <c r="H1241" s="271">
        <v>0.92149999999999999</v>
      </c>
      <c r="I1241" s="271">
        <v>0.92149999999999999</v>
      </c>
      <c r="J1241" s="271">
        <v>0.92149999999999999</v>
      </c>
      <c r="K1241" s="271">
        <v>0.9113</v>
      </c>
      <c r="L1241" s="271">
        <v>0.92620000000000002</v>
      </c>
      <c r="M1241" s="271">
        <v>0.91859999999999997</v>
      </c>
      <c r="N1241" s="271">
        <v>0.92410000000000003</v>
      </c>
      <c r="O1241" s="271">
        <v>0.92759999999999998</v>
      </c>
      <c r="P1241" s="271">
        <v>0.92379999999999995</v>
      </c>
      <c r="Q1241" s="271">
        <v>0.92379999999999995</v>
      </c>
      <c r="R1241" s="271">
        <v>0.90180000000000005</v>
      </c>
      <c r="S1241" s="271">
        <v>0.9032</v>
      </c>
      <c r="T1241" s="271">
        <v>0.90539999999999998</v>
      </c>
      <c r="U1241" s="271">
        <v>0.90439999999999998</v>
      </c>
      <c r="V1241" s="271">
        <v>0.90469999999999995</v>
      </c>
      <c r="W1241" s="271">
        <v>0.90490000000000004</v>
      </c>
      <c r="X1241" s="271">
        <v>0.90490000000000004</v>
      </c>
      <c r="Y1241" s="271">
        <v>0.9022</v>
      </c>
      <c r="Z1241" s="273">
        <f ca="1">[1]ExtEntry!$R51</f>
        <v>0.9022</v>
      </c>
      <c r="AB1241" s="341">
        <v>11700</v>
      </c>
      <c r="AC1241" s="341">
        <v>11650</v>
      </c>
      <c r="AD1241" s="341">
        <v>12500</v>
      </c>
      <c r="AE1241" s="341">
        <v>11974.999999999998</v>
      </c>
      <c r="AF1241" s="341">
        <v>11974.999999999998</v>
      </c>
      <c r="AG1241" s="341">
        <v>12100</v>
      </c>
      <c r="AH1241" s="341">
        <v>11600.000000000002</v>
      </c>
      <c r="AI1241" s="341">
        <v>10899.999999999998</v>
      </c>
      <c r="AJ1241" s="341">
        <v>10949.999999999998</v>
      </c>
      <c r="AK1241" s="341">
        <v>10149.499999999998</v>
      </c>
      <c r="AL1241" s="341">
        <v>11600.000000000002</v>
      </c>
      <c r="AM1241" s="341">
        <v>11299.999999999998</v>
      </c>
      <c r="AN1241" s="341">
        <v>11574.999999999998</v>
      </c>
      <c r="AO1241" s="341">
        <v>11600.000000000002</v>
      </c>
      <c r="AP1241" s="341">
        <v>10499.999999999998</v>
      </c>
      <c r="AQ1241" s="341">
        <v>11250</v>
      </c>
      <c r="AR1241" s="341">
        <v>11099.999999999995</v>
      </c>
      <c r="AS1241" s="341">
        <v>10049.999999999998</v>
      </c>
      <c r="AT1241" s="341">
        <v>9550</v>
      </c>
      <c r="AU1241" s="341">
        <v>8650.0000000000018</v>
      </c>
      <c r="AV1241" s="341">
        <f ca="1">Calc!W51</f>
        <v>8650.0000000000018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0.81540000000000001</v>
      </c>
      <c r="G1242" s="271">
        <v>0.81630000000000003</v>
      </c>
      <c r="H1242" s="271">
        <v>0.81520000000000004</v>
      </c>
      <c r="I1242" s="271">
        <v>0.81530000000000002</v>
      </c>
      <c r="J1242" s="271">
        <v>0.81530000000000002</v>
      </c>
      <c r="K1242" s="271">
        <v>0.81340000000000001</v>
      </c>
      <c r="L1242" s="271">
        <v>0.8165</v>
      </c>
      <c r="M1242" s="271">
        <v>0.81479999999999997</v>
      </c>
      <c r="N1242" s="271">
        <v>0.8155</v>
      </c>
      <c r="O1242" s="271">
        <v>0.81640000000000001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5685.2999999999984</v>
      </c>
      <c r="AC1242" s="341">
        <v>5893.4999999999982</v>
      </c>
      <c r="AD1242" s="341">
        <v>5805.2999999999956</v>
      </c>
      <c r="AE1242" s="341">
        <v>5955.2999999999975</v>
      </c>
      <c r="AF1242" s="341">
        <v>5955.2999999999975</v>
      </c>
      <c r="AG1242" s="341">
        <v>6420.2999999999956</v>
      </c>
      <c r="AH1242" s="341">
        <v>5730.2999999999993</v>
      </c>
      <c r="AI1242" s="341">
        <v>5580.2999999999975</v>
      </c>
      <c r="AJ1242" s="341">
        <v>5760.2999999999993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0.54490000000000005</v>
      </c>
      <c r="G1243" s="271">
        <v>0.54459999999999997</v>
      </c>
      <c r="H1243" s="271">
        <v>0.54400000000000004</v>
      </c>
      <c r="I1243" s="271">
        <v>0.54590000000000005</v>
      </c>
      <c r="J1243" s="271">
        <v>0.54590000000000005</v>
      </c>
      <c r="K1243" s="271">
        <v>0.54920000000000002</v>
      </c>
      <c r="L1243" s="271">
        <v>0.54720000000000002</v>
      </c>
      <c r="M1243" s="271">
        <v>0.5484</v>
      </c>
      <c r="N1243" s="271">
        <v>0.5474</v>
      </c>
      <c r="O1243" s="271">
        <v>0.54769999999999996</v>
      </c>
      <c r="P1243" s="271">
        <v>0.54910000000000003</v>
      </c>
      <c r="Q1243" s="271">
        <v>0.54910000000000003</v>
      </c>
      <c r="R1243" s="271">
        <v>0.49469999999999997</v>
      </c>
      <c r="S1243" s="271">
        <v>0.49469999999999997</v>
      </c>
      <c r="T1243" s="271">
        <v>0.49469999999999997</v>
      </c>
      <c r="U1243" s="271">
        <v>0.4975</v>
      </c>
      <c r="V1243" s="271">
        <v>0.49619999999999997</v>
      </c>
      <c r="W1243" s="271">
        <v>0.49480000000000002</v>
      </c>
      <c r="X1243" s="271">
        <v>0.49330000000000002</v>
      </c>
      <c r="Y1243" s="271">
        <v>0.49020000000000002</v>
      </c>
      <c r="Z1243" s="273">
        <f ca="1">[1]ExtEntry!$R53</f>
        <v>0.49020000000000002</v>
      </c>
      <c r="AB1243" s="341">
        <v>121.99999999999989</v>
      </c>
      <c r="AC1243" s="341">
        <v>191.99999999999875</v>
      </c>
      <c r="AD1243" s="341">
        <v>154.99999999999829</v>
      </c>
      <c r="AE1243" s="341">
        <v>220.99999999999795</v>
      </c>
      <c r="AF1243" s="341">
        <v>220.99999999999795</v>
      </c>
      <c r="AG1243" s="341">
        <v>491.99999999999875</v>
      </c>
      <c r="AH1243" s="341">
        <v>1131.0000000000002</v>
      </c>
      <c r="AI1243" s="341">
        <v>1087.9999999999995</v>
      </c>
      <c r="AJ1243" s="341">
        <v>1325.9999999999991</v>
      </c>
      <c r="AK1243" s="341">
        <v>1351.9999999999982</v>
      </c>
      <c r="AL1243" s="341">
        <v>1640.0000000000005</v>
      </c>
      <c r="AM1243" s="341">
        <v>1668.0000000000007</v>
      </c>
      <c r="AN1243" s="341">
        <v>1234.0000000000005</v>
      </c>
      <c r="AO1243" s="341">
        <v>1163.9999999999986</v>
      </c>
      <c r="AP1243" s="341">
        <v>1262.0000000000005</v>
      </c>
      <c r="AQ1243" s="341">
        <v>762.00000000000045</v>
      </c>
      <c r="AR1243" s="341">
        <v>916.99999999999875</v>
      </c>
      <c r="AS1243" s="341">
        <v>1290.0000000000005</v>
      </c>
      <c r="AT1243" s="341">
        <v>1240.0000000000005</v>
      </c>
      <c r="AU1243" s="341">
        <v>1219.9999999999989</v>
      </c>
      <c r="AV1243" s="341">
        <f ca="1">Calc!W53</f>
        <v>1219.9999999999989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1.1479999999999999</v>
      </c>
      <c r="M1244" s="271">
        <v>1.1479999999999999</v>
      </c>
      <c r="N1244" s="271">
        <v>1.1479999999999999</v>
      </c>
      <c r="O1244" s="271">
        <v>1.1479999999999999</v>
      </c>
      <c r="P1244" s="271">
        <v>1.147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1.149</v>
      </c>
      <c r="V1244" s="271">
        <v>1.149</v>
      </c>
      <c r="W1244" s="271">
        <v>1.149</v>
      </c>
      <c r="X1244" s="271">
        <v>1.149</v>
      </c>
      <c r="Y1244" s="271">
        <v>1.1479999999999999</v>
      </c>
      <c r="Z1244" s="273">
        <f ca="1">[1]ExtEntry!$R54</f>
        <v>1.1479999999999999</v>
      </c>
      <c r="AB1244" s="341">
        <v>-17052.000000000004</v>
      </c>
      <c r="AC1244" s="341">
        <v>-16968.000000000004</v>
      </c>
      <c r="AD1244" s="341">
        <v>-16086.000000000004</v>
      </c>
      <c r="AE1244" s="341">
        <v>-15603.000000000004</v>
      </c>
      <c r="AF1244" s="341">
        <v>-15603.000000000004</v>
      </c>
      <c r="AG1244" s="341">
        <v>-16128.000000000004</v>
      </c>
      <c r="AH1244" s="341">
        <v>-15288.000000000002</v>
      </c>
      <c r="AI1244" s="341">
        <v>-16254.000000000004</v>
      </c>
      <c r="AJ1244" s="341">
        <v>-15918.000000000004</v>
      </c>
      <c r="AK1244" s="341">
        <v>-16144.800000000005</v>
      </c>
      <c r="AL1244" s="341">
        <v>-16296.000000000004</v>
      </c>
      <c r="AM1244" s="341">
        <v>-16905</v>
      </c>
      <c r="AN1244" s="341">
        <v>-16590.000000000004</v>
      </c>
      <c r="AO1244" s="341">
        <v>-16800.000000000004</v>
      </c>
      <c r="AP1244" s="341">
        <v>-16212.000000000005</v>
      </c>
      <c r="AQ1244" s="341">
        <v>-15750.000000000004</v>
      </c>
      <c r="AR1244" s="341">
        <v>-16254.000000000004</v>
      </c>
      <c r="AS1244" s="341">
        <v>-16548</v>
      </c>
      <c r="AT1244" s="341">
        <v>-16065.000000000004</v>
      </c>
      <c r="AU1244" s="341">
        <v>-16170.000000000002</v>
      </c>
      <c r="AV1244" s="341">
        <f ca="1">Calc!W54</f>
        <v>-16170.000000000002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0.95740000000000003</v>
      </c>
      <c r="G1245" s="271">
        <v>0.96179999999999999</v>
      </c>
      <c r="H1245" s="271">
        <v>0.96650000000000003</v>
      </c>
      <c r="I1245" s="271">
        <v>0.96950000000000003</v>
      </c>
      <c r="J1245" s="271">
        <v>0.96950000000000003</v>
      </c>
      <c r="K1245" s="271">
        <v>0.96679999999999999</v>
      </c>
      <c r="L1245" s="271">
        <v>0.96830000000000005</v>
      </c>
      <c r="M1245" s="271">
        <v>0.96619999999999995</v>
      </c>
      <c r="N1245" s="271">
        <v>0.96450000000000002</v>
      </c>
      <c r="O1245" s="271">
        <v>0.95879999999999999</v>
      </c>
      <c r="P1245" s="271">
        <v>0.96</v>
      </c>
      <c r="Q1245" s="271">
        <v>0.99380000000000002</v>
      </c>
      <c r="R1245" s="271">
        <v>0.99370000000000003</v>
      </c>
      <c r="S1245" s="271">
        <v>0.99370000000000003</v>
      </c>
      <c r="T1245" s="271">
        <v>0.99529999999999996</v>
      </c>
      <c r="U1245" s="271">
        <v>0.99280000000000002</v>
      </c>
      <c r="V1245" s="271">
        <v>0.99419999999999997</v>
      </c>
      <c r="W1245" s="271">
        <v>0.99380000000000002</v>
      </c>
      <c r="X1245" s="271">
        <v>0.99370000000000003</v>
      </c>
      <c r="Y1245" s="271">
        <v>0.99399999999999999</v>
      </c>
      <c r="Z1245" s="273">
        <f ca="1">[1]ExtEntry!$R55</f>
        <v>0.99399999999999999</v>
      </c>
      <c r="AB1245" s="341">
        <v>34.269999999998468</v>
      </c>
      <c r="AC1245" s="341">
        <v>-365.73000000000189</v>
      </c>
      <c r="AD1245" s="341">
        <v>34.269999999998468</v>
      </c>
      <c r="AE1245" s="341">
        <v>-205.73000000000175</v>
      </c>
      <c r="AF1245" s="341">
        <v>-205.73000000000175</v>
      </c>
      <c r="AG1245" s="341">
        <v>-365.73000000000189</v>
      </c>
      <c r="AH1245" s="341">
        <v>-805.73</v>
      </c>
      <c r="AI1245" s="341">
        <v>-965.73000000000025</v>
      </c>
      <c r="AJ1245" s="341">
        <v>-805.73</v>
      </c>
      <c r="AK1245" s="341">
        <v>-805.73</v>
      </c>
      <c r="AL1245" s="341">
        <v>-925.73000000000013</v>
      </c>
      <c r="AM1245" s="341">
        <v>-1165.7300000000005</v>
      </c>
      <c r="AN1245" s="341">
        <v>-605.7299999999999</v>
      </c>
      <c r="AO1245" s="341">
        <v>-1165.7300000000005</v>
      </c>
      <c r="AP1245" s="341">
        <v>-1325.7300000000005</v>
      </c>
      <c r="AQ1245" s="341">
        <v>-1365.7300000000005</v>
      </c>
      <c r="AR1245" s="341">
        <v>-1125.7300000000002</v>
      </c>
      <c r="AS1245" s="341">
        <v>-1005.7300000000002</v>
      </c>
      <c r="AT1245" s="341">
        <v>-1405.7300000000007</v>
      </c>
      <c r="AU1245" s="341">
        <v>-1365.7300000000005</v>
      </c>
      <c r="AV1245" s="341">
        <f ca="1">Calc!W55</f>
        <v>-1365.7300000000005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2.0981999999999998</v>
      </c>
      <c r="G1246" s="271">
        <v>2.0884999999999998</v>
      </c>
      <c r="H1246" s="271">
        <v>2.0867</v>
      </c>
      <c r="I1246" s="271">
        <v>2.0830000000000002</v>
      </c>
      <c r="J1246" s="271">
        <v>2.0830000000000002</v>
      </c>
      <c r="K1246" s="271">
        <v>2.0712999999999999</v>
      </c>
      <c r="L1246" s="271">
        <v>2.0884999999999998</v>
      </c>
      <c r="M1246" s="271">
        <v>2.0821000000000001</v>
      </c>
      <c r="N1246" s="271">
        <v>2.0903</v>
      </c>
      <c r="O1246" s="271">
        <v>2.1173999999999999</v>
      </c>
      <c r="P1246" s="271">
        <v>2.0941999999999998</v>
      </c>
      <c r="Q1246" s="271">
        <v>2.0941999999999998</v>
      </c>
      <c r="R1246" s="271">
        <v>2.0888</v>
      </c>
      <c r="S1246" s="271">
        <v>2.0888</v>
      </c>
      <c r="T1246" s="271">
        <v>2.0880000000000001</v>
      </c>
      <c r="U1246" s="271">
        <v>2.0886</v>
      </c>
      <c r="V1246" s="271">
        <v>2.0861000000000001</v>
      </c>
      <c r="W1246" s="271">
        <v>2.0857000000000001</v>
      </c>
      <c r="X1246" s="271">
        <v>2.0830000000000002</v>
      </c>
      <c r="Y1246" s="271">
        <v>2.0779999999999998</v>
      </c>
      <c r="Z1246" s="273">
        <f ca="1">[1]ExtEntry!$R56</f>
        <v>2.0779999999999998</v>
      </c>
      <c r="AB1246" s="341">
        <v>-3900.0000000000014</v>
      </c>
      <c r="AC1246" s="341">
        <v>-3599.0000000000009</v>
      </c>
      <c r="AD1246" s="341">
        <v>-4400.0000000000036</v>
      </c>
      <c r="AE1246" s="341">
        <v>-4650.0000000000009</v>
      </c>
      <c r="AF1246" s="341">
        <v>-4650.0000000000009</v>
      </c>
      <c r="AG1246" s="341">
        <v>-4800.0000000000018</v>
      </c>
      <c r="AH1246" s="341">
        <v>-2750.0000000000036</v>
      </c>
      <c r="AI1246" s="341">
        <v>-3050.0000000000018</v>
      </c>
      <c r="AJ1246" s="341">
        <v>1149.9999999999977</v>
      </c>
      <c r="AK1246" s="341">
        <v>-258.00000000000267</v>
      </c>
      <c r="AL1246" s="341">
        <v>-1500.0000000000036</v>
      </c>
      <c r="AM1246" s="341">
        <v>-2450.0000000000009</v>
      </c>
      <c r="AN1246" s="341">
        <v>-3297.0000000000032</v>
      </c>
      <c r="AO1246" s="341">
        <v>-4000.0000000000036</v>
      </c>
      <c r="AP1246" s="341">
        <v>-4000.0000000000036</v>
      </c>
      <c r="AQ1246" s="341">
        <v>-2800.0000000000023</v>
      </c>
      <c r="AR1246" s="341">
        <v>-3500.0000000000009</v>
      </c>
      <c r="AS1246" s="341">
        <v>-3300.0000000000009</v>
      </c>
      <c r="AT1246" s="341">
        <v>-2000.0000000000018</v>
      </c>
      <c r="AU1246" s="341">
        <v>-2250.0000000000009</v>
      </c>
      <c r="AV1246" s="341">
        <f ca="1">Calc!W56</f>
        <v>-2250.0000000000009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0.67210000000000003</v>
      </c>
      <c r="G1247" s="271">
        <v>0.66920000000000002</v>
      </c>
      <c r="H1247" s="271">
        <v>0.66469999999999996</v>
      </c>
      <c r="I1247" s="271">
        <v>0.6603</v>
      </c>
      <c r="J1247" s="271">
        <v>0.6603</v>
      </c>
      <c r="K1247" s="271">
        <v>0.66390000000000005</v>
      </c>
      <c r="L1247" s="271">
        <v>0.66039999999999999</v>
      </c>
      <c r="M1247" s="271">
        <v>0.65659999999999996</v>
      </c>
      <c r="N1247" s="271">
        <v>0.66649999999999998</v>
      </c>
      <c r="O1247" s="271">
        <v>0.67410000000000003</v>
      </c>
      <c r="P1247" s="271">
        <v>0.67210000000000003</v>
      </c>
      <c r="Q1247" s="271">
        <v>0.68600000000000005</v>
      </c>
      <c r="R1247" s="271">
        <v>0.68620000000000003</v>
      </c>
      <c r="S1247" s="271">
        <v>0.68620000000000003</v>
      </c>
      <c r="T1247" s="271">
        <v>0.6855</v>
      </c>
      <c r="U1247" s="271">
        <v>0.68440000000000001</v>
      </c>
      <c r="V1247" s="271">
        <v>0.68240000000000001</v>
      </c>
      <c r="W1247" s="271">
        <v>0.68489999999999995</v>
      </c>
      <c r="X1247" s="271">
        <v>0.68530000000000002</v>
      </c>
      <c r="Y1247" s="271">
        <v>0.68569999999999998</v>
      </c>
      <c r="Z1247" s="273">
        <f ca="1">[1]ExtEntry!$R57</f>
        <v>0.68569999999999998</v>
      </c>
      <c r="AB1247" s="341">
        <v>-5369.9999999999973</v>
      </c>
      <c r="AC1247" s="341">
        <v>-4845.0000000000009</v>
      </c>
      <c r="AD1247" s="341">
        <v>-5279.9999999999991</v>
      </c>
      <c r="AE1247" s="341">
        <v>-4829.9999999999982</v>
      </c>
      <c r="AF1247" s="341">
        <v>-4829.9999999999982</v>
      </c>
      <c r="AG1247" s="341">
        <v>-4395</v>
      </c>
      <c r="AH1247" s="341">
        <v>-5145</v>
      </c>
      <c r="AI1247" s="341">
        <v>-5654.9999999999991</v>
      </c>
      <c r="AJ1247" s="341">
        <v>-5069.9999999999982</v>
      </c>
      <c r="AK1247" s="341">
        <v>-4859.9999999999973</v>
      </c>
      <c r="AL1247" s="341">
        <v>-5294.9999999999964</v>
      </c>
      <c r="AM1247" s="341">
        <v>-5819.9999999999982</v>
      </c>
      <c r="AN1247" s="341">
        <v>-5654.9999999999991</v>
      </c>
      <c r="AO1247" s="341">
        <v>-5490</v>
      </c>
      <c r="AP1247" s="341">
        <v>-5039.9999999999991</v>
      </c>
      <c r="AQ1247" s="341">
        <v>-4260</v>
      </c>
      <c r="AR1247" s="341">
        <v>-3585.0000000000009</v>
      </c>
      <c r="AS1247" s="341">
        <v>-4289.9999999999991</v>
      </c>
      <c r="AT1247" s="341">
        <v>-4395</v>
      </c>
      <c r="AU1247" s="341">
        <v>-3990</v>
      </c>
      <c r="AV1247" s="341">
        <f ca="1">Calc!W57</f>
        <v>-3990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0.71479999999999999</v>
      </c>
      <c r="G1248" s="271">
        <v>0.71519999999999995</v>
      </c>
      <c r="H1248" s="271">
        <v>0.71479999999999999</v>
      </c>
      <c r="I1248" s="271">
        <v>0.71489999999999998</v>
      </c>
      <c r="J1248" s="271">
        <v>0.71489999999999998</v>
      </c>
      <c r="K1248" s="271">
        <v>0.71530000000000005</v>
      </c>
      <c r="L1248" s="271">
        <v>0.7157</v>
      </c>
      <c r="M1248" s="271">
        <v>0.71479999999999999</v>
      </c>
      <c r="N1248" s="271">
        <v>0.7157</v>
      </c>
      <c r="O1248" s="271">
        <v>0.71630000000000005</v>
      </c>
      <c r="P1248" s="271">
        <v>0.71930000000000005</v>
      </c>
      <c r="Q1248" s="271">
        <v>0.71289999999999998</v>
      </c>
      <c r="R1248" s="271">
        <v>0.71479999999999999</v>
      </c>
      <c r="S1248" s="271">
        <v>0.71479999999999999</v>
      </c>
      <c r="T1248" s="271">
        <v>0.71540000000000004</v>
      </c>
      <c r="U1248" s="271">
        <v>0.71319999999999995</v>
      </c>
      <c r="V1248" s="271">
        <v>0.71040000000000003</v>
      </c>
      <c r="W1248" s="271">
        <v>0.71230000000000004</v>
      </c>
      <c r="X1248" s="271">
        <v>0.71150000000000002</v>
      </c>
      <c r="Y1248" s="271">
        <v>0.71130000000000004</v>
      </c>
      <c r="Z1248" s="273">
        <f ca="1">[1]ExtEntry!$R58</f>
        <v>0.71130000000000004</v>
      </c>
      <c r="AB1248" s="341">
        <v>49.249999999999986</v>
      </c>
      <c r="AC1248" s="341">
        <v>47.899999999999991</v>
      </c>
      <c r="AD1248" s="341">
        <v>46.55</v>
      </c>
      <c r="AE1248" s="341">
        <v>46.349999999999994</v>
      </c>
      <c r="AF1248" s="341">
        <v>46.349999999999994</v>
      </c>
      <c r="AG1248" s="341">
        <v>45.55</v>
      </c>
      <c r="AH1248" s="341">
        <v>43.549999999999983</v>
      </c>
      <c r="AI1248" s="341">
        <v>45.099999999999994</v>
      </c>
      <c r="AJ1248" s="341">
        <v>46.150000000000006</v>
      </c>
      <c r="AK1248" s="341">
        <v>44.55</v>
      </c>
      <c r="AL1248" s="341">
        <v>40.450000000000003</v>
      </c>
      <c r="AM1248" s="341">
        <v>36.150000000000006</v>
      </c>
      <c r="AN1248" s="341">
        <v>35.450000000000003</v>
      </c>
      <c r="AO1248" s="341">
        <v>39.549999999999997</v>
      </c>
      <c r="AP1248" s="341">
        <v>39.799999999999983</v>
      </c>
      <c r="AQ1248" s="341">
        <v>42.85</v>
      </c>
      <c r="AR1248" s="341">
        <v>42.449999999999989</v>
      </c>
      <c r="AS1248" s="341">
        <v>42.699999999999996</v>
      </c>
      <c r="AT1248" s="341">
        <v>42.349999999999994</v>
      </c>
      <c r="AU1248" s="341">
        <v>44.65</v>
      </c>
      <c r="AV1248" s="341">
        <f ca="1">Calc!W58</f>
        <v>44.65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1.1269</v>
      </c>
      <c r="G1249" s="271">
        <v>1.1235999999999999</v>
      </c>
      <c r="H1249" s="271">
        <v>1.1235999999999999</v>
      </c>
      <c r="I1249" s="271">
        <v>1.1233</v>
      </c>
      <c r="J1249" s="271">
        <v>1.1233</v>
      </c>
      <c r="K1249" s="271">
        <v>1.1198999999999999</v>
      </c>
      <c r="L1249" s="271">
        <v>1.1195999999999999</v>
      </c>
      <c r="M1249" s="271">
        <v>1.1207</v>
      </c>
      <c r="N1249" s="271">
        <v>1.1254</v>
      </c>
      <c r="O1249" s="271">
        <v>1.1275999999999999</v>
      </c>
      <c r="P1249" s="271">
        <v>1.1285000000000001</v>
      </c>
      <c r="Q1249" s="271">
        <v>1.1000000000000001</v>
      </c>
      <c r="R1249" s="271">
        <v>1.0989</v>
      </c>
      <c r="S1249" s="271">
        <v>1.0989</v>
      </c>
      <c r="T1249" s="271">
        <v>1.1017999999999999</v>
      </c>
      <c r="U1249" s="271">
        <v>1.1044</v>
      </c>
      <c r="V1249" s="271">
        <v>1.1037999999999999</v>
      </c>
      <c r="W1249" s="271">
        <v>1.1016999999999999</v>
      </c>
      <c r="X1249" s="271">
        <v>1.1015999999999999</v>
      </c>
      <c r="Y1249" s="271">
        <v>1.1014999999999999</v>
      </c>
      <c r="Z1249" s="273">
        <f ca="1">[1]ExtEntry!$R59</f>
        <v>1.1014999999999999</v>
      </c>
      <c r="AB1249" s="341">
        <v>16095.999999999989</v>
      </c>
      <c r="AC1249" s="341">
        <v>16095.999999999989</v>
      </c>
      <c r="AD1249" s="341">
        <v>15759.999999999991</v>
      </c>
      <c r="AE1249" s="341">
        <v>16335.999999999998</v>
      </c>
      <c r="AF1249" s="341">
        <v>16335.999999999998</v>
      </c>
      <c r="AG1249" s="341">
        <v>17007.999999999996</v>
      </c>
      <c r="AH1249" s="341">
        <v>18287.999999999996</v>
      </c>
      <c r="AI1249" s="341">
        <v>17839.999999999989</v>
      </c>
      <c r="AJ1249" s="341">
        <v>18111.999999999996</v>
      </c>
      <c r="AK1249" s="341">
        <v>17695.999999999996</v>
      </c>
      <c r="AL1249" s="341">
        <v>19055.999999999996</v>
      </c>
      <c r="AM1249" s="341">
        <v>17311.999999999996</v>
      </c>
      <c r="AN1249" s="341">
        <v>15679.999999999993</v>
      </c>
      <c r="AO1249" s="341">
        <v>15663.999999999987</v>
      </c>
      <c r="AP1249" s="341">
        <v>15375.999999999991</v>
      </c>
      <c r="AQ1249" s="341">
        <v>13823.999999999998</v>
      </c>
      <c r="AR1249" s="341">
        <v>15872</v>
      </c>
      <c r="AS1249" s="341">
        <v>15983.999999999995</v>
      </c>
      <c r="AT1249" s="341">
        <v>15695.999999999998</v>
      </c>
      <c r="AU1249" s="341">
        <v>15375.999999999991</v>
      </c>
      <c r="AV1249" s="341">
        <f ca="1">Calc!W59</f>
        <v>15375.999999999991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1.6021000000000001</v>
      </c>
      <c r="G1250" s="271">
        <v>1.6015999999999999</v>
      </c>
      <c r="H1250" s="271">
        <v>1.6020000000000001</v>
      </c>
      <c r="I1250" s="271">
        <v>1.6017999999999999</v>
      </c>
      <c r="J1250" s="271">
        <v>1.6017999999999999</v>
      </c>
      <c r="K1250" s="271">
        <v>1.6022000000000001</v>
      </c>
      <c r="L1250" s="271">
        <v>1.6020000000000001</v>
      </c>
      <c r="M1250" s="271">
        <v>1.6869000000000001</v>
      </c>
      <c r="N1250" s="271">
        <v>1.6092</v>
      </c>
      <c r="O1250" s="271">
        <v>1.6041000000000001</v>
      </c>
      <c r="P1250" s="271">
        <v>1.6024</v>
      </c>
      <c r="Q1250" s="271">
        <v>1.6024</v>
      </c>
      <c r="R1250" s="271">
        <v>1.6207</v>
      </c>
      <c r="S1250" s="271">
        <v>1.6207</v>
      </c>
      <c r="T1250" s="271">
        <v>1.6241000000000001</v>
      </c>
      <c r="U1250" s="271">
        <v>1.6245000000000001</v>
      </c>
      <c r="V1250" s="271">
        <v>1.6232</v>
      </c>
      <c r="W1250" s="271">
        <v>1.6225000000000001</v>
      </c>
      <c r="X1250" s="271">
        <v>1.6235999999999999</v>
      </c>
      <c r="Y1250" s="271">
        <v>1.6119000000000001</v>
      </c>
      <c r="Z1250" s="273">
        <f ca="1">[1]ExtEntry!$R60</f>
        <v>1.6119000000000001</v>
      </c>
      <c r="AB1250" s="341">
        <v>1899.9999999999995</v>
      </c>
      <c r="AC1250" s="341">
        <v>1947.0000000000009</v>
      </c>
      <c r="AD1250" s="341">
        <v>1950.0000000000007</v>
      </c>
      <c r="AE1250" s="341">
        <v>1999.9999999999995</v>
      </c>
      <c r="AF1250" s="341">
        <v>1999.9999999999995</v>
      </c>
      <c r="AG1250" s="341">
        <v>2099.9999999999995</v>
      </c>
      <c r="AH1250" s="341">
        <v>-9374</v>
      </c>
      <c r="AI1250" s="341">
        <v>-14569</v>
      </c>
      <c r="AJ1250" s="341">
        <v>-14744</v>
      </c>
      <c r="AK1250" s="341">
        <v>-14851</v>
      </c>
      <c r="AL1250" s="341">
        <v>-14800</v>
      </c>
      <c r="AM1250" s="341">
        <v>-14866</v>
      </c>
      <c r="AN1250" s="341">
        <v>-14849.999999999998</v>
      </c>
      <c r="AO1250" s="341">
        <v>-14835</v>
      </c>
      <c r="AP1250" s="341">
        <v>-14884</v>
      </c>
      <c r="AQ1250" s="341">
        <v>-14830.999999999998</v>
      </c>
      <c r="AR1250" s="341">
        <v>-14800</v>
      </c>
      <c r="AS1250" s="341">
        <v>-15149.999999999998</v>
      </c>
      <c r="AT1250" s="341">
        <v>-15149.999999999998</v>
      </c>
      <c r="AU1250" s="341">
        <v>-15170.999999999998</v>
      </c>
      <c r="AV1250" s="341">
        <f ca="1">Calc!W60</f>
        <v>-15170.999999999998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1.5942000000000001</v>
      </c>
      <c r="G1251" s="271">
        <v>1.595</v>
      </c>
      <c r="H1251" s="271">
        <v>1.5960000000000001</v>
      </c>
      <c r="I1251" s="271">
        <v>1.5945</v>
      </c>
      <c r="J1251" s="271">
        <v>1.5945</v>
      </c>
      <c r="K1251" s="271">
        <v>1.5958000000000001</v>
      </c>
      <c r="L1251" s="271">
        <v>1.5941000000000001</v>
      </c>
      <c r="M1251" s="271">
        <v>1.5885</v>
      </c>
      <c r="N1251" s="271">
        <v>1.5953999999999999</v>
      </c>
      <c r="O1251" s="271">
        <v>1.6047</v>
      </c>
      <c r="P1251" s="271">
        <v>1.6009</v>
      </c>
      <c r="Q1251" s="271">
        <v>1.5649999999999999</v>
      </c>
      <c r="R1251" s="271">
        <v>1.5665</v>
      </c>
      <c r="S1251" s="271">
        <v>1.5665</v>
      </c>
      <c r="T1251" s="271">
        <v>1.5648</v>
      </c>
      <c r="U1251" s="271">
        <v>1.5658000000000001</v>
      </c>
      <c r="V1251" s="271">
        <v>1.5644</v>
      </c>
      <c r="W1251" s="271">
        <v>1.5648</v>
      </c>
      <c r="X1251" s="271">
        <v>1.5643</v>
      </c>
      <c r="Y1251" s="271">
        <v>1.5643</v>
      </c>
      <c r="Z1251" s="273">
        <f ca="1">[1]ExtEntry!$R61</f>
        <v>1.5643</v>
      </c>
      <c r="AB1251" s="341">
        <v>189.09999999999997</v>
      </c>
      <c r="AC1251" s="341">
        <v>-855.70000000001357</v>
      </c>
      <c r="AD1251" s="341">
        <v>-2169.1000000000067</v>
      </c>
      <c r="AE1251" s="341">
        <v>-1532.3000000000063</v>
      </c>
      <c r="AF1251" s="341">
        <v>-1532.3000000000063</v>
      </c>
      <c r="AG1251" s="341">
        <v>-3323.3000000000034</v>
      </c>
      <c r="AH1251" s="341">
        <v>-6507.3000000000065</v>
      </c>
      <c r="AI1251" s="341">
        <v>-14109.100000000008</v>
      </c>
      <c r="AJ1251" s="341">
        <v>-14109.100000000008</v>
      </c>
      <c r="AK1251" s="341">
        <v>-12835.500000000005</v>
      </c>
      <c r="AL1251" s="341">
        <v>-11840.500000000005</v>
      </c>
      <c r="AM1251" s="341">
        <v>-13551.900000000005</v>
      </c>
      <c r="AN1251" s="341">
        <v>-12636.500000000004</v>
      </c>
      <c r="AO1251" s="341">
        <v>-11362.900000000001</v>
      </c>
      <c r="AP1251" s="341">
        <v>-10248.500000000011</v>
      </c>
      <c r="AQ1251" s="341">
        <v>-10606.700000000012</v>
      </c>
      <c r="AR1251" s="341">
        <v>-9492.3000000000065</v>
      </c>
      <c r="AS1251" s="341">
        <v>-6507.3000000000065</v>
      </c>
      <c r="AT1251" s="341">
        <v>-2965.100000000004</v>
      </c>
      <c r="AU1251" s="341">
        <v>-3641.7000000000107</v>
      </c>
      <c r="AV1251" s="341">
        <f ca="1">Calc!W61</f>
        <v>-3641.7000000000107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0.28649999999999998</v>
      </c>
      <c r="G1252" s="271">
        <v>0.28949999999999998</v>
      </c>
      <c r="H1252" s="271">
        <v>0.29389999999999999</v>
      </c>
      <c r="I1252" s="271">
        <v>0.29770000000000002</v>
      </c>
      <c r="J1252" s="271">
        <v>0.29770000000000002</v>
      </c>
      <c r="K1252" s="271">
        <v>0.29470000000000002</v>
      </c>
      <c r="L1252" s="271">
        <v>0.29859999999999998</v>
      </c>
      <c r="M1252" s="271">
        <v>0.29820000000000002</v>
      </c>
      <c r="N1252" s="271">
        <v>0.29199999999999998</v>
      </c>
      <c r="O1252" s="271">
        <v>0.28760000000000002</v>
      </c>
      <c r="P1252" s="271">
        <v>0.2893</v>
      </c>
      <c r="Q1252" s="271">
        <v>0.2742</v>
      </c>
      <c r="R1252" s="271">
        <v>0.2752</v>
      </c>
      <c r="S1252" s="271">
        <v>0.2752</v>
      </c>
      <c r="T1252" s="271">
        <v>0.27529999999999999</v>
      </c>
      <c r="U1252" s="271">
        <v>0.27610000000000001</v>
      </c>
      <c r="V1252" s="271">
        <v>0.27729999999999999</v>
      </c>
      <c r="W1252" s="271">
        <v>0.27510000000000001</v>
      </c>
      <c r="X1252" s="271">
        <v>0.2747</v>
      </c>
      <c r="Y1252" s="271">
        <v>0.27439999999999998</v>
      </c>
      <c r="Z1252" s="273">
        <f ca="1">[1]ExtEntry!$R62</f>
        <v>0.27439999999999998</v>
      </c>
      <c r="AB1252" s="341">
        <v>7320.0000000000036</v>
      </c>
      <c r="AC1252" s="341">
        <v>299.99999999999892</v>
      </c>
      <c r="AD1252" s="341">
        <v>450.00000000000108</v>
      </c>
      <c r="AE1252" s="341">
        <v>105.00000000000043</v>
      </c>
      <c r="AF1252" s="341">
        <v>105.00000000000043</v>
      </c>
      <c r="AG1252" s="341">
        <v>404.99999999999937</v>
      </c>
      <c r="AH1252" s="341">
        <v>-404.99999999999937</v>
      </c>
      <c r="AI1252" s="341">
        <v>-1424.9999999999989</v>
      </c>
      <c r="AJ1252" s="341">
        <v>-1470.0000000000007</v>
      </c>
      <c r="AK1252" s="341">
        <v>-1815.0000000000014</v>
      </c>
      <c r="AL1252" s="341">
        <v>-1394.9999999999995</v>
      </c>
      <c r="AM1252" s="341">
        <v>-1724.999999999998</v>
      </c>
      <c r="AN1252" s="341">
        <v>-2490</v>
      </c>
      <c r="AO1252" s="341">
        <v>-2009.9999999999998</v>
      </c>
      <c r="AP1252" s="341">
        <v>-2009.9999999999998</v>
      </c>
      <c r="AQ1252" s="341">
        <v>-2474.9999999999977</v>
      </c>
      <c r="AR1252" s="341">
        <v>-2039.9999999999991</v>
      </c>
      <c r="AS1252" s="341">
        <v>-1889.999999999997</v>
      </c>
      <c r="AT1252" s="341">
        <v>-1379.9999999999973</v>
      </c>
      <c r="AU1252" s="341">
        <v>-1349.999999999998</v>
      </c>
      <c r="AV1252" s="341">
        <f ca="1">Calc!W62</f>
        <v>-1349.999999999998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0.49030000000000001</v>
      </c>
      <c r="G1253" s="271">
        <v>0.49130000000000001</v>
      </c>
      <c r="H1253" s="271">
        <v>0.48909999999999998</v>
      </c>
      <c r="I1253" s="271">
        <v>0.48930000000000001</v>
      </c>
      <c r="J1253" s="271">
        <v>0.48930000000000001</v>
      </c>
      <c r="K1253" s="271">
        <v>0.48959999999999998</v>
      </c>
      <c r="L1253" s="271">
        <v>0.48949999999999999</v>
      </c>
      <c r="M1253" s="271">
        <v>0.48930000000000001</v>
      </c>
      <c r="N1253" s="271">
        <v>0.49</v>
      </c>
      <c r="O1253" s="271">
        <v>0.49099999999999999</v>
      </c>
      <c r="P1253" s="271">
        <v>0.49359999999999998</v>
      </c>
      <c r="Q1253" s="271">
        <v>0.48920000000000002</v>
      </c>
      <c r="R1253" s="271">
        <v>0.48959999999999998</v>
      </c>
      <c r="S1253" s="271">
        <v>0.48849999999999999</v>
      </c>
      <c r="T1253" s="271">
        <v>0.48530000000000001</v>
      </c>
      <c r="U1253" s="271">
        <v>0.48559999999999998</v>
      </c>
      <c r="V1253" s="271">
        <v>0.47920000000000001</v>
      </c>
      <c r="W1253" s="271">
        <v>0.48359999999999997</v>
      </c>
      <c r="X1253" s="271">
        <v>0.48139999999999999</v>
      </c>
      <c r="Y1253" s="271">
        <v>0.48020000000000002</v>
      </c>
      <c r="Z1253" s="273">
        <f ca="1">[1]ExtEntry!$R63</f>
        <v>0.48020000000000002</v>
      </c>
      <c r="AB1253" s="341">
        <v>1.4849999999999994</v>
      </c>
      <c r="AC1253" s="341">
        <v>1.9450000000000003</v>
      </c>
      <c r="AD1253" s="341">
        <v>2.105000000000004</v>
      </c>
      <c r="AE1253" s="341">
        <v>2.1649999999999991</v>
      </c>
      <c r="AF1253" s="341">
        <v>2.1649999999999991</v>
      </c>
      <c r="AG1253" s="341">
        <v>2.2749999999999986</v>
      </c>
      <c r="AH1253" s="341">
        <v>2.2550000000000026</v>
      </c>
      <c r="AI1253" s="341">
        <v>1.9050000000000011</v>
      </c>
      <c r="AJ1253" s="341">
        <v>1.8250000000000028</v>
      </c>
      <c r="AK1253" s="341">
        <v>1.5150000000000006</v>
      </c>
      <c r="AL1253" s="341">
        <v>1.4650000000000034</v>
      </c>
      <c r="AM1253" s="341">
        <v>0.76500000000000057</v>
      </c>
      <c r="AN1253" s="341">
        <v>0.75500000000000256</v>
      </c>
      <c r="AO1253" s="341">
        <v>1.6750000000000043</v>
      </c>
      <c r="AP1253" s="341">
        <v>1.8149999999999977</v>
      </c>
      <c r="AQ1253" s="341">
        <v>2.7250000000000014</v>
      </c>
      <c r="AR1253" s="341">
        <v>2.615000000000002</v>
      </c>
      <c r="AS1253" s="341">
        <v>2.7650000000000006</v>
      </c>
      <c r="AT1253" s="341">
        <v>2.6550000000000011</v>
      </c>
      <c r="AU1253" s="341">
        <v>2.8350000000000009</v>
      </c>
      <c r="AV1253" s="341">
        <f ca="1">Calc!W63</f>
        <v>2.8350000000000009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1.1674</v>
      </c>
      <c r="G1254" s="271">
        <v>1.1654</v>
      </c>
      <c r="H1254" s="271">
        <v>1.1621999999999999</v>
      </c>
      <c r="I1254" s="271">
        <v>1.1626000000000001</v>
      </c>
      <c r="J1254" s="271">
        <v>1.1626000000000001</v>
      </c>
      <c r="K1254" s="271">
        <v>1.1636</v>
      </c>
      <c r="L1254" s="271">
        <v>1.1642999999999999</v>
      </c>
      <c r="M1254" s="271">
        <v>1.1625000000000001</v>
      </c>
      <c r="N1254" s="271">
        <v>1.1649</v>
      </c>
      <c r="O1254" s="271">
        <v>1.1666000000000001</v>
      </c>
      <c r="P1254" s="271">
        <v>1.17</v>
      </c>
      <c r="Q1254" s="271">
        <v>1.1682999999999999</v>
      </c>
      <c r="R1254" s="271">
        <v>1.1694</v>
      </c>
      <c r="S1254" s="271">
        <v>1.1639999999999999</v>
      </c>
      <c r="T1254" s="271">
        <v>1.1641999999999999</v>
      </c>
      <c r="U1254" s="271">
        <v>1.1692</v>
      </c>
      <c r="V1254" s="271">
        <v>1.1664000000000001</v>
      </c>
      <c r="W1254" s="271">
        <v>1.1682999999999999</v>
      </c>
      <c r="X1254" s="271">
        <v>1.1718999999999999</v>
      </c>
      <c r="Y1254" s="271">
        <v>1.1747000000000001</v>
      </c>
      <c r="Z1254" s="273">
        <f ca="1">[1]ExtEntry!$R64</f>
        <v>1.1747000000000001</v>
      </c>
      <c r="AB1254" s="341">
        <v>-2250</v>
      </c>
      <c r="AC1254" s="341">
        <v>-2440.0000000000036</v>
      </c>
      <c r="AD1254" s="341">
        <v>-2890.0000000000036</v>
      </c>
      <c r="AE1254" s="341">
        <v>-2800</v>
      </c>
      <c r="AF1254" s="341">
        <v>-2800</v>
      </c>
      <c r="AG1254" s="341">
        <v>-3430.0000000000009</v>
      </c>
      <c r="AH1254" s="341">
        <v>-3580.0000000000009</v>
      </c>
      <c r="AI1254" s="341">
        <v>-3810.0000000000023</v>
      </c>
      <c r="AJ1254" s="341">
        <v>-2900</v>
      </c>
      <c r="AK1254" s="341">
        <v>-2910.0000000000023</v>
      </c>
      <c r="AL1254" s="341">
        <v>-3490.0000000000036</v>
      </c>
      <c r="AM1254" s="341">
        <v>-4619.9999999999991</v>
      </c>
      <c r="AN1254" s="341">
        <v>-4090.0000000000036</v>
      </c>
      <c r="AO1254" s="341">
        <v>-3300</v>
      </c>
      <c r="AP1254" s="341">
        <v>-3760.0000000000023</v>
      </c>
      <c r="AQ1254" s="341">
        <v>-4090.0000000000036</v>
      </c>
      <c r="AR1254" s="341">
        <v>-4119.9999999999991</v>
      </c>
      <c r="AS1254" s="341">
        <v>-5440.0000000000036</v>
      </c>
      <c r="AT1254" s="341">
        <v>-6219.9999999999991</v>
      </c>
      <c r="AU1254" s="341">
        <v>-6000</v>
      </c>
      <c r="AV1254" s="341">
        <f ca="1">Calc!W64</f>
        <v>-6000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0.99990000000000001</v>
      </c>
      <c r="G1255" s="271">
        <v>1.0044</v>
      </c>
      <c r="H1255" s="271">
        <v>1.0096000000000001</v>
      </c>
      <c r="I1255" s="271">
        <v>1.0092000000000001</v>
      </c>
      <c r="J1255" s="271">
        <v>1.0092000000000001</v>
      </c>
      <c r="K1255" s="271">
        <v>1.0081</v>
      </c>
      <c r="L1255" s="271">
        <v>1.0075000000000001</v>
      </c>
      <c r="M1255" s="271">
        <v>1.0093000000000001</v>
      </c>
      <c r="N1255" s="271">
        <v>1.0069999999999999</v>
      </c>
      <c r="O1255" s="271">
        <v>1.0045999999999999</v>
      </c>
      <c r="P1255" s="271">
        <v>1.0021</v>
      </c>
      <c r="Q1255" s="271">
        <v>1.0095000000000001</v>
      </c>
      <c r="R1255" s="271">
        <v>1.0101</v>
      </c>
      <c r="S1255" s="271">
        <v>1.0101</v>
      </c>
      <c r="T1255" s="271">
        <v>1.0039</v>
      </c>
      <c r="U1255" s="271">
        <v>1.0089999999999999</v>
      </c>
      <c r="V1255" s="271">
        <v>1.0072000000000001</v>
      </c>
      <c r="W1255" s="271">
        <v>1.0078</v>
      </c>
      <c r="X1255" s="271">
        <v>1.0031000000000001</v>
      </c>
      <c r="Y1255" s="271">
        <v>1.0064</v>
      </c>
      <c r="Z1255" s="273">
        <f ca="1">[1]ExtEntry!$R65</f>
        <v>1.0064</v>
      </c>
      <c r="AB1255" s="341">
        <v>0.97500000000022169</v>
      </c>
      <c r="AC1255" s="341">
        <v>30.225000000000222</v>
      </c>
      <c r="AD1255" s="341">
        <v>4.875</v>
      </c>
      <c r="AE1255" s="341">
        <v>4.875</v>
      </c>
      <c r="AF1255" s="341">
        <v>4.875</v>
      </c>
      <c r="AG1255" s="341">
        <v>8.7750000000000554</v>
      </c>
      <c r="AH1255" s="341">
        <v>41.925000000000111</v>
      </c>
      <c r="AI1255" s="341">
        <v>2.9250000000001108</v>
      </c>
      <c r="AJ1255" s="341">
        <v>-12.674999999999834</v>
      </c>
      <c r="AK1255" s="341">
        <v>10.725000000000222</v>
      </c>
      <c r="AL1255" s="341">
        <v>-34.125</v>
      </c>
      <c r="AM1255" s="341">
        <v>-82.875</v>
      </c>
      <c r="AN1255" s="341">
        <v>-63.375</v>
      </c>
      <c r="AO1255" s="341">
        <v>-63.375</v>
      </c>
      <c r="AP1255" s="341">
        <v>-32.174999999999834</v>
      </c>
      <c r="AQ1255" s="341">
        <v>-86.774999999999778</v>
      </c>
      <c r="AR1255" s="341">
        <v>-71.174999999999841</v>
      </c>
      <c r="AS1255" s="341">
        <v>-45.824999999999889</v>
      </c>
      <c r="AT1255" s="341">
        <v>-80.924999999999841</v>
      </c>
      <c r="AU1255" s="341">
        <v>-45.824999999999889</v>
      </c>
      <c r="AV1255" s="341">
        <f ca="1">Calc!W65</f>
        <v>-45.824999999999889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1.1096999999999999</v>
      </c>
      <c r="G1256" s="271">
        <v>1.1096999999999999</v>
      </c>
      <c r="H1256" s="271">
        <v>1.1072</v>
      </c>
      <c r="I1256" s="271">
        <v>1.107</v>
      </c>
      <c r="J1256" s="271">
        <v>1.107</v>
      </c>
      <c r="K1256" s="271">
        <v>1.1026</v>
      </c>
      <c r="L1256" s="271">
        <v>1.1077999999999999</v>
      </c>
      <c r="M1256" s="271">
        <v>1.1052999999999999</v>
      </c>
      <c r="N1256" s="271">
        <v>1.1083000000000001</v>
      </c>
      <c r="O1256" s="271">
        <v>1.1101000000000001</v>
      </c>
      <c r="P1256" s="271">
        <v>1.1086</v>
      </c>
      <c r="Q1256" s="271">
        <v>1.1086</v>
      </c>
      <c r="R1256" s="271">
        <v>1.0844</v>
      </c>
      <c r="S1256" s="271">
        <v>1.0807</v>
      </c>
      <c r="T1256" s="271">
        <v>1.0827</v>
      </c>
      <c r="U1256" s="271">
        <v>1.0818000000000001</v>
      </c>
      <c r="V1256" s="271">
        <v>1.0829</v>
      </c>
      <c r="W1256" s="271">
        <v>1.0838000000000001</v>
      </c>
      <c r="X1256" s="271">
        <v>1.0841000000000001</v>
      </c>
      <c r="Y1256" s="271">
        <v>1.0819000000000001</v>
      </c>
      <c r="Z1256" s="273">
        <f ca="1">[1]ExtEntry!$R66</f>
        <v>1.0819000000000001</v>
      </c>
      <c r="AB1256" s="341">
        <v>9680.1999999999989</v>
      </c>
      <c r="AC1256" s="341">
        <v>9407.5999999999985</v>
      </c>
      <c r="AD1256" s="341">
        <v>9340.8999999999942</v>
      </c>
      <c r="AE1256" s="341">
        <v>9082.7999999999975</v>
      </c>
      <c r="AF1256" s="341">
        <v>9082.7999999999975</v>
      </c>
      <c r="AG1256" s="341">
        <v>7890.8999999999942</v>
      </c>
      <c r="AH1256" s="341">
        <v>8224.399999999996</v>
      </c>
      <c r="AI1256" s="341">
        <v>8847.8999999999978</v>
      </c>
      <c r="AJ1256" s="341">
        <v>9190.0999999999985</v>
      </c>
      <c r="AK1256" s="341">
        <v>9453.9709999999977</v>
      </c>
      <c r="AL1256" s="341">
        <v>9668.5999999999931</v>
      </c>
      <c r="AM1256" s="341">
        <v>8346.141999999998</v>
      </c>
      <c r="AN1256" s="341">
        <v>10844.665999999999</v>
      </c>
      <c r="AO1256" s="341">
        <v>11504.299999999996</v>
      </c>
      <c r="AP1256" s="341">
        <v>11884.199999999997</v>
      </c>
      <c r="AQ1256" s="341">
        <v>11333.199999999995</v>
      </c>
      <c r="AR1256" s="341">
        <v>10309.499999999995</v>
      </c>
      <c r="AS1256" s="341">
        <v>8117.099999999994</v>
      </c>
      <c r="AT1256" s="341">
        <v>9165.4499999999971</v>
      </c>
      <c r="AU1256" s="341">
        <v>10228.299999999996</v>
      </c>
      <c r="AV1256" s="341">
        <f ca="1">Calc!W66</f>
        <v>10228.299999999996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1.3075000000000001</v>
      </c>
      <c r="G1257" s="271">
        <v>1.3092999999999999</v>
      </c>
      <c r="H1257" s="271">
        <v>1.3103</v>
      </c>
      <c r="I1257" s="271">
        <v>1.3104</v>
      </c>
      <c r="J1257" s="271">
        <v>1.3104</v>
      </c>
      <c r="K1257" s="271">
        <v>1.3117000000000001</v>
      </c>
      <c r="L1257" s="271">
        <v>1.3087</v>
      </c>
      <c r="M1257" s="271">
        <v>1.3103</v>
      </c>
      <c r="N1257" s="271">
        <v>1.3088</v>
      </c>
      <c r="O1257" s="271">
        <v>1.3078000000000001</v>
      </c>
      <c r="P1257" s="271">
        <v>1.3091999999999999</v>
      </c>
      <c r="Q1257" s="271">
        <v>1.3091999999999999</v>
      </c>
      <c r="R1257" s="271">
        <v>1.2968</v>
      </c>
      <c r="S1257" s="271">
        <v>1.2971999999999999</v>
      </c>
      <c r="T1257" s="271">
        <v>1.2954000000000001</v>
      </c>
      <c r="U1257" s="271">
        <v>1.2955000000000001</v>
      </c>
      <c r="V1257" s="271">
        <v>1.2950999999999999</v>
      </c>
      <c r="W1257" s="271">
        <v>1.2955000000000001</v>
      </c>
      <c r="X1257" s="271">
        <v>1.2966</v>
      </c>
      <c r="Y1257" s="271">
        <v>1.2957000000000001</v>
      </c>
      <c r="Z1257" s="273">
        <f ca="1">[1]ExtEntry!$R67</f>
        <v>1.2957000000000001</v>
      </c>
      <c r="AB1257" s="341">
        <v>8851.600000000004</v>
      </c>
      <c r="AC1257" s="341">
        <v>9165.0000000000055</v>
      </c>
      <c r="AD1257" s="341">
        <v>8474.9999999999945</v>
      </c>
      <c r="AE1257" s="341">
        <v>7125</v>
      </c>
      <c r="AF1257" s="341">
        <v>7125</v>
      </c>
      <c r="AG1257" s="341">
        <v>5280.0000000000009</v>
      </c>
      <c r="AH1257" s="341">
        <v>7344.9999999999991</v>
      </c>
      <c r="AI1257" s="341">
        <v>7730.0000000000036</v>
      </c>
      <c r="AJ1257" s="341">
        <v>7935.0000000000018</v>
      </c>
      <c r="AK1257" s="341">
        <v>9648.5499999999993</v>
      </c>
      <c r="AL1257" s="341">
        <v>7875</v>
      </c>
      <c r="AM1257" s="341">
        <v>4561.4499999999935</v>
      </c>
      <c r="AN1257" s="341">
        <v>6364.9999999999945</v>
      </c>
      <c r="AO1257" s="341">
        <v>6370.0000000000045</v>
      </c>
      <c r="AP1257" s="341">
        <v>11215.000000000004</v>
      </c>
      <c r="AQ1257" s="341">
        <v>11295.000000000002</v>
      </c>
      <c r="AR1257" s="341">
        <v>12495.000000000004</v>
      </c>
      <c r="AS1257" s="341">
        <v>8540.0000000000055</v>
      </c>
      <c r="AT1257" s="341">
        <v>8447.5000000000055</v>
      </c>
      <c r="AU1257" s="341">
        <v>7450.0000000000027</v>
      </c>
      <c r="AV1257" s="341">
        <f ca="1">Calc!W67</f>
        <v>7450.0000000000027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1.8625</v>
      </c>
      <c r="G1258" s="271">
        <v>1.8665</v>
      </c>
      <c r="H1258" s="271">
        <v>1.8663000000000001</v>
      </c>
      <c r="I1258" s="271">
        <v>1.8635999999999999</v>
      </c>
      <c r="J1258" s="271">
        <v>1.8635999999999999</v>
      </c>
      <c r="K1258" s="271">
        <v>1.8638999999999999</v>
      </c>
      <c r="L1258" s="271">
        <v>1.871</v>
      </c>
      <c r="M1258" s="271">
        <v>1.8733</v>
      </c>
      <c r="N1258" s="271">
        <v>1.8727</v>
      </c>
      <c r="O1258" s="271">
        <v>1.8681000000000001</v>
      </c>
      <c r="P1258" s="271">
        <v>1.8695999999999999</v>
      </c>
      <c r="Q1258" s="271">
        <v>1.8656999999999999</v>
      </c>
      <c r="R1258" s="271">
        <v>1.8684000000000001</v>
      </c>
      <c r="S1258" s="271">
        <v>1.8684000000000001</v>
      </c>
      <c r="T1258" s="271">
        <v>1.8594999999999999</v>
      </c>
      <c r="U1258" s="271">
        <v>1.8642000000000001</v>
      </c>
      <c r="V1258" s="271">
        <v>1.8617999999999999</v>
      </c>
      <c r="W1258" s="271">
        <v>1.8655999999999999</v>
      </c>
      <c r="X1258" s="271">
        <v>1.8671</v>
      </c>
      <c r="Y1258" s="271">
        <v>1.8632</v>
      </c>
      <c r="Z1258" s="273">
        <f ca="1">[1]ExtEntry!$R68</f>
        <v>1.8632</v>
      </c>
      <c r="AB1258" s="341">
        <v>-930.00000000000114</v>
      </c>
      <c r="AC1258" s="341">
        <v>-1230.0000000000011</v>
      </c>
      <c r="AD1258" s="341">
        <v>-1294.9999999999989</v>
      </c>
      <c r="AE1258" s="341">
        <v>-960.00000000000227</v>
      </c>
      <c r="AF1258" s="341">
        <v>-960.00000000000227</v>
      </c>
      <c r="AG1258" s="341">
        <v>-1164.9999999999977</v>
      </c>
      <c r="AH1258" s="341">
        <v>-739.99999999999773</v>
      </c>
      <c r="AI1258" s="341">
        <v>-544.99999999999886</v>
      </c>
      <c r="AJ1258" s="341">
        <v>-64.999999999997726</v>
      </c>
      <c r="AK1258" s="341">
        <v>-350</v>
      </c>
      <c r="AL1258" s="341">
        <v>-1285.0000000000023</v>
      </c>
      <c r="AM1258" s="341">
        <v>-2225</v>
      </c>
      <c r="AN1258" s="341">
        <v>-1569.9999999999989</v>
      </c>
      <c r="AO1258" s="341">
        <v>-1405.0000000000011</v>
      </c>
      <c r="AP1258" s="341">
        <v>50</v>
      </c>
      <c r="AQ1258" s="341">
        <v>755.00000000000114</v>
      </c>
      <c r="AR1258" s="341">
        <v>1085.0000000000023</v>
      </c>
      <c r="AS1258" s="341">
        <v>935.00000000000227</v>
      </c>
      <c r="AT1258" s="341">
        <v>1225</v>
      </c>
      <c r="AU1258" s="341">
        <v>1414.9999999999977</v>
      </c>
      <c r="AV1258" s="341">
        <f ca="1">Calc!W68</f>
        <v>1414.9999999999977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2.0981999999999998</v>
      </c>
      <c r="G1259" s="271">
        <v>2.0884999999999998</v>
      </c>
      <c r="H1259" s="271">
        <v>2.0867</v>
      </c>
      <c r="I1259" s="271">
        <v>2.0830000000000002</v>
      </c>
      <c r="J1259" s="271">
        <v>2.0830000000000002</v>
      </c>
      <c r="K1259" s="271">
        <v>2.0712999999999999</v>
      </c>
      <c r="L1259" s="271">
        <v>2.0884999999999998</v>
      </c>
      <c r="M1259" s="271">
        <v>2.0821000000000001</v>
      </c>
      <c r="N1259" s="271">
        <v>2.0903</v>
      </c>
      <c r="O1259" s="271">
        <v>2.1173999999999999</v>
      </c>
      <c r="P1259" s="271">
        <v>2.0941999999999998</v>
      </c>
      <c r="Q1259" s="271">
        <v>2.0941999999999998</v>
      </c>
      <c r="R1259" s="271">
        <v>2.0888</v>
      </c>
      <c r="S1259" s="271">
        <v>2.0888</v>
      </c>
      <c r="T1259" s="271">
        <v>2.0880000000000001</v>
      </c>
      <c r="U1259" s="271">
        <v>2.0886</v>
      </c>
      <c r="V1259" s="271">
        <v>2.0861000000000001</v>
      </c>
      <c r="W1259" s="271">
        <v>2.0857000000000001</v>
      </c>
      <c r="X1259" s="271">
        <v>2.0830000000000002</v>
      </c>
      <c r="Y1259" s="271">
        <v>2.0779999999999998</v>
      </c>
      <c r="Z1259" s="273">
        <f ca="1">[1]ExtEntry!$R69</f>
        <v>2.0779999999999998</v>
      </c>
      <c r="AB1259" s="341">
        <v>2751</v>
      </c>
      <c r="AC1259" s="341">
        <v>3383.1000000000004</v>
      </c>
      <c r="AD1259" s="341">
        <v>1700.9999999999945</v>
      </c>
      <c r="AE1259" s="341">
        <v>1176.0000000000011</v>
      </c>
      <c r="AF1259" s="341">
        <v>1176.0000000000011</v>
      </c>
      <c r="AG1259" s="341">
        <v>860.99999999999841</v>
      </c>
      <c r="AH1259" s="341">
        <v>5165.9999999999955</v>
      </c>
      <c r="AI1259" s="341">
        <v>4535.9999999999991</v>
      </c>
      <c r="AJ1259" s="341">
        <v>13355.999999999998</v>
      </c>
      <c r="AK1259" s="341">
        <v>10399.199999999997</v>
      </c>
      <c r="AL1259" s="341">
        <v>7790.9999999999955</v>
      </c>
      <c r="AM1259" s="341">
        <v>5796.0000000000009</v>
      </c>
      <c r="AN1259" s="341">
        <v>4017.2999999999961</v>
      </c>
      <c r="AO1259" s="341">
        <v>2540.9999999999955</v>
      </c>
      <c r="AP1259" s="341">
        <v>2540.9999999999955</v>
      </c>
      <c r="AQ1259" s="341">
        <v>5060.9999999999973</v>
      </c>
      <c r="AR1259" s="341">
        <v>3591.0000000000009</v>
      </c>
      <c r="AS1259" s="341">
        <v>4011.0000000000014</v>
      </c>
      <c r="AT1259" s="341">
        <v>6740.9999999999991</v>
      </c>
      <c r="AU1259" s="341">
        <v>6216.0000000000009</v>
      </c>
      <c r="AV1259" s="341">
        <f ca="1">Calc!W69</f>
        <v>6216.0000000000009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1.5472999999999999</v>
      </c>
      <c r="G1260" s="271">
        <v>1.5469999999999999</v>
      </c>
      <c r="H1260" s="271">
        <v>1.5465</v>
      </c>
      <c r="I1260" s="271">
        <v>1.5483</v>
      </c>
      <c r="J1260" s="271">
        <v>1.5483</v>
      </c>
      <c r="K1260" s="271">
        <v>1.55</v>
      </c>
      <c r="L1260" s="271">
        <v>1.5486</v>
      </c>
      <c r="M1260" s="271">
        <v>1.5491999999999999</v>
      </c>
      <c r="N1260" s="271">
        <v>1.548</v>
      </c>
      <c r="O1260" s="271">
        <v>1.5474000000000001</v>
      </c>
      <c r="P1260" s="271">
        <v>1.5486</v>
      </c>
      <c r="Q1260" s="271">
        <v>1.5486</v>
      </c>
      <c r="R1260" s="271">
        <v>1.5516000000000001</v>
      </c>
      <c r="S1260" s="271">
        <v>1.5516000000000001</v>
      </c>
      <c r="T1260" s="271">
        <v>1.5549999999999999</v>
      </c>
      <c r="U1260" s="271">
        <v>1.5549999999999999</v>
      </c>
      <c r="V1260" s="271">
        <v>1.5548</v>
      </c>
      <c r="W1260" s="271">
        <v>1.5556000000000001</v>
      </c>
      <c r="X1260" s="271">
        <v>1.5556000000000001</v>
      </c>
      <c r="Y1260" s="271">
        <v>1.5537000000000001</v>
      </c>
      <c r="Z1260" s="273">
        <f ca="1">[1]ExtEntry!$R70</f>
        <v>1.5537000000000001</v>
      </c>
      <c r="AB1260" s="341">
        <v>5088.6499999999996</v>
      </c>
      <c r="AC1260" s="341">
        <v>5202.55</v>
      </c>
      <c r="AD1260" s="341">
        <v>5182.45</v>
      </c>
      <c r="AE1260" s="341">
        <v>5048.449999999998</v>
      </c>
      <c r="AF1260" s="341">
        <v>5048.449999999998</v>
      </c>
      <c r="AG1260" s="341">
        <v>5661.5000000000018</v>
      </c>
      <c r="AH1260" s="341">
        <v>6117.0999999999967</v>
      </c>
      <c r="AI1260" s="341">
        <v>6056.8000000000038</v>
      </c>
      <c r="AJ1260" s="341">
        <v>6338.1999999999962</v>
      </c>
      <c r="AK1260" s="341">
        <v>5674.9</v>
      </c>
      <c r="AL1260" s="341">
        <v>6545.8999999999969</v>
      </c>
      <c r="AM1260" s="341">
        <v>5480.6000000000049</v>
      </c>
      <c r="AN1260" s="341">
        <v>5380.1</v>
      </c>
      <c r="AO1260" s="341">
        <v>5875.8999999999969</v>
      </c>
      <c r="AP1260" s="341">
        <v>6834.0000000000018</v>
      </c>
      <c r="AQ1260" s="341">
        <v>6854.1000000000031</v>
      </c>
      <c r="AR1260" s="341">
        <v>5862.5</v>
      </c>
      <c r="AS1260" s="341">
        <v>4830.6999999999962</v>
      </c>
      <c r="AT1260" s="341">
        <v>5718.449999999998</v>
      </c>
      <c r="AU1260" s="341">
        <v>4931.2</v>
      </c>
      <c r="AV1260" s="341">
        <f ca="1">Calc!W70</f>
        <v>4931.2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1.3139000000000001</v>
      </c>
      <c r="G1261" s="271">
        <v>1.3150999999999999</v>
      </c>
      <c r="H1261" s="271">
        <v>1.3149</v>
      </c>
      <c r="I1261" s="271">
        <v>1.3144</v>
      </c>
      <c r="J1261" s="271">
        <v>1.3144</v>
      </c>
      <c r="K1261" s="271">
        <v>1.3129999999999999</v>
      </c>
      <c r="L1261" s="271">
        <v>1.3176000000000001</v>
      </c>
      <c r="M1261" s="271">
        <v>1.3153999999999999</v>
      </c>
      <c r="N1261" s="271">
        <v>1.3181</v>
      </c>
      <c r="O1261" s="271">
        <v>1.3191999999999999</v>
      </c>
      <c r="P1261" s="271">
        <v>1.3173999999999999</v>
      </c>
      <c r="Q1261" s="271">
        <v>1.3173999999999999</v>
      </c>
      <c r="R1261" s="271">
        <v>1.3366</v>
      </c>
      <c r="S1261" s="271">
        <v>1.3366</v>
      </c>
      <c r="T1261" s="271">
        <v>1.3391999999999999</v>
      </c>
      <c r="U1261" s="271">
        <v>1.3385</v>
      </c>
      <c r="V1261" s="271">
        <v>1.3385</v>
      </c>
      <c r="W1261" s="271">
        <v>1.3385</v>
      </c>
      <c r="X1261" s="271">
        <v>1.3381000000000001</v>
      </c>
      <c r="Y1261" s="271">
        <v>1.3363</v>
      </c>
      <c r="Z1261" s="273">
        <f ca="1">[1]ExtEntry!$R71</f>
        <v>1.3363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2.9217</v>
      </c>
      <c r="G1262" s="271">
        <v>2.9218999999999999</v>
      </c>
      <c r="H1262" s="271">
        <v>2.9197000000000002</v>
      </c>
      <c r="I1262" s="271">
        <v>2.92</v>
      </c>
      <c r="J1262" s="271">
        <v>2.92</v>
      </c>
      <c r="K1262" s="271">
        <v>2.9209000000000001</v>
      </c>
      <c r="L1262" s="271">
        <v>2.9173</v>
      </c>
      <c r="M1262" s="271">
        <v>2.9173</v>
      </c>
      <c r="N1262" s="271">
        <v>2.9207000000000001</v>
      </c>
      <c r="O1262" s="271">
        <v>2.92</v>
      </c>
      <c r="P1262" s="271">
        <v>2.9222000000000001</v>
      </c>
      <c r="Q1262" s="271">
        <v>2.8016000000000001</v>
      </c>
      <c r="R1262" s="271">
        <v>2.8003999999999998</v>
      </c>
      <c r="S1262" s="271">
        <v>2.8001999999999998</v>
      </c>
      <c r="T1262" s="271">
        <v>2.8029000000000002</v>
      </c>
      <c r="U1262" s="271">
        <v>2.8026</v>
      </c>
      <c r="V1262" s="271">
        <v>2.8026</v>
      </c>
      <c r="W1262" s="271">
        <v>2.8026</v>
      </c>
      <c r="X1262" s="271">
        <v>2.8047</v>
      </c>
      <c r="Y1262" s="271">
        <v>2.8010999999999999</v>
      </c>
      <c r="Z1262" s="273">
        <f ca="1">[1]ExtEntry!$R72</f>
        <v>2.8010999999999999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1.9331</v>
      </c>
      <c r="G1263" s="271">
        <v>1.9322999999999999</v>
      </c>
      <c r="H1263" s="271">
        <v>1.9377</v>
      </c>
      <c r="I1263" s="271">
        <v>1.9379</v>
      </c>
      <c r="J1263" s="271">
        <v>1.9379</v>
      </c>
      <c r="K1263" s="271">
        <v>1.9413</v>
      </c>
      <c r="L1263" s="271">
        <v>1.9336</v>
      </c>
      <c r="M1263" s="271">
        <v>1.9355</v>
      </c>
      <c r="N1263" s="271">
        <v>1.9280999999999999</v>
      </c>
      <c r="O1263" s="271">
        <v>1.9251</v>
      </c>
      <c r="P1263" s="271">
        <v>1.9282999999999999</v>
      </c>
      <c r="Q1263" s="271">
        <v>1.9282999999999999</v>
      </c>
      <c r="R1263" s="271">
        <v>1.9981</v>
      </c>
      <c r="S1263" s="271">
        <v>1.9981</v>
      </c>
      <c r="T1263" s="271">
        <v>2.0028999999999999</v>
      </c>
      <c r="U1263" s="271">
        <v>1.9996</v>
      </c>
      <c r="V1263" s="271">
        <v>2.0015000000000001</v>
      </c>
      <c r="W1263" s="271">
        <v>2.0028999999999999</v>
      </c>
      <c r="X1263" s="271">
        <v>2.0034000000000001</v>
      </c>
      <c r="Y1263" s="271">
        <v>2.0053999999999998</v>
      </c>
      <c r="Z1263" s="273">
        <f ca="1">[1]ExtEntry!$R73</f>
        <v>2.0053999999999998</v>
      </c>
      <c r="AB1263" s="341">
        <v>-36578.100000000006</v>
      </c>
      <c r="AC1263" s="341">
        <v>-32977.80000000001</v>
      </c>
      <c r="AD1263" s="341">
        <v>-32332.80000000001</v>
      </c>
      <c r="AE1263" s="341">
        <v>-32632.800000000014</v>
      </c>
      <c r="AF1263" s="341">
        <v>-32632.800000000014</v>
      </c>
      <c r="AG1263" s="341">
        <v>-35767.80000000001</v>
      </c>
      <c r="AH1263" s="341">
        <v>-40387.800000000003</v>
      </c>
      <c r="AI1263" s="341">
        <v>-42247.80000000001</v>
      </c>
      <c r="AJ1263" s="341">
        <v>-41137.800000000003</v>
      </c>
      <c r="AK1263" s="341">
        <v>-43102.80000000001</v>
      </c>
      <c r="AL1263" s="341">
        <v>-44167.80000000001</v>
      </c>
      <c r="AM1263" s="341">
        <v>-45997.80000000001</v>
      </c>
      <c r="AN1263" s="341">
        <v>-43597.8</v>
      </c>
      <c r="AO1263" s="341">
        <v>-44287.80000000001</v>
      </c>
      <c r="AP1263" s="341">
        <v>-43597.8</v>
      </c>
      <c r="AQ1263" s="341">
        <v>-41947.800000000017</v>
      </c>
      <c r="AR1263" s="341">
        <v>-43027.80000000001</v>
      </c>
      <c r="AS1263" s="341">
        <v>-43507.80000000001</v>
      </c>
      <c r="AT1263" s="341">
        <v>-40297.80000000001</v>
      </c>
      <c r="AU1263" s="341">
        <v>-45907.8</v>
      </c>
      <c r="AV1263" s="341">
        <f ca="1">Calc!W73</f>
        <v>-45907.8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3.2092999999999998</v>
      </c>
      <c r="G1264" s="271">
        <v>3.2090999999999998</v>
      </c>
      <c r="H1264" s="271">
        <v>3.2090000000000001</v>
      </c>
      <c r="I1264" s="271">
        <v>3.2157</v>
      </c>
      <c r="J1264" s="271">
        <v>3.2157</v>
      </c>
      <c r="K1264" s="271">
        <v>3.2141999999999999</v>
      </c>
      <c r="L1264" s="271">
        <v>3.2113</v>
      </c>
      <c r="M1264" s="271">
        <v>3.2143999999999999</v>
      </c>
      <c r="N1264" s="271">
        <v>3.2143000000000002</v>
      </c>
      <c r="O1264" s="271">
        <v>3.2162999999999999</v>
      </c>
      <c r="P1264" s="271">
        <v>3.2252999999999998</v>
      </c>
      <c r="Q1264" s="271">
        <v>3.2252999999999998</v>
      </c>
      <c r="R1264" s="271">
        <v>3.4853000000000001</v>
      </c>
      <c r="S1264" s="271">
        <v>3.4853000000000001</v>
      </c>
      <c r="T1264" s="271">
        <v>3.4899</v>
      </c>
      <c r="U1264" s="271">
        <v>3.4922</v>
      </c>
      <c r="V1264" s="271">
        <v>3.4870000000000001</v>
      </c>
      <c r="W1264" s="271">
        <v>3.4851999999999999</v>
      </c>
      <c r="X1264" s="271">
        <v>3.4847000000000001</v>
      </c>
      <c r="Y1264" s="271">
        <v>3.4861</v>
      </c>
      <c r="Z1264" s="273">
        <f ca="1">[1]ExtEntry!$R74</f>
        <v>3.4861</v>
      </c>
      <c r="AB1264" s="341">
        <v>-3875.9999999999995</v>
      </c>
      <c r="AC1264" s="341">
        <v>-2147.9999999999986</v>
      </c>
      <c r="AD1264" s="341">
        <v>323.99999999999983</v>
      </c>
      <c r="AE1264" s="341">
        <v>-3271.9999999999995</v>
      </c>
      <c r="AF1264" s="341">
        <v>-3271.9999999999995</v>
      </c>
      <c r="AG1264" s="341">
        <v>-3752</v>
      </c>
      <c r="AH1264" s="341">
        <v>-480.00000000000045</v>
      </c>
      <c r="AI1264" s="341">
        <v>-80.000000000000071</v>
      </c>
      <c r="AJ1264" s="341">
        <v>1120.0000000000009</v>
      </c>
      <c r="AK1264" s="341">
        <v>1719.999999999997</v>
      </c>
      <c r="AL1264" s="341">
        <v>6719.9999999999973</v>
      </c>
      <c r="AM1264" s="341">
        <v>4119.9999999999991</v>
      </c>
      <c r="AN1264" s="341">
        <v>4920</v>
      </c>
      <c r="AO1264" s="341">
        <v>3120.0000000000027</v>
      </c>
      <c r="AP1264" s="341">
        <v>320.00000000000028</v>
      </c>
      <c r="AQ1264" s="341">
        <v>3520.0000000000032</v>
      </c>
      <c r="AR1264" s="341">
        <v>5119.9999999999955</v>
      </c>
      <c r="AS1264" s="341">
        <v>4719.9999999999955</v>
      </c>
      <c r="AT1264" s="341">
        <v>9320.0000000000036</v>
      </c>
      <c r="AU1264" s="341">
        <v>13120.000000000004</v>
      </c>
      <c r="AV1264" s="341">
        <f ca="1">Calc!W74</f>
        <v>13120.000000000004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1.1269</v>
      </c>
      <c r="G1265" s="271">
        <v>1.1235999999999999</v>
      </c>
      <c r="H1265" s="271">
        <v>1.1235999999999999</v>
      </c>
      <c r="I1265" s="271">
        <v>1.1233</v>
      </c>
      <c r="J1265" s="271">
        <v>1.1233</v>
      </c>
      <c r="K1265" s="271">
        <v>1.1198999999999999</v>
      </c>
      <c r="L1265" s="271">
        <v>1.1195999999999999</v>
      </c>
      <c r="M1265" s="271">
        <v>1.1207</v>
      </c>
      <c r="N1265" s="271">
        <v>1.1254</v>
      </c>
      <c r="O1265" s="271">
        <v>1.1275999999999999</v>
      </c>
      <c r="P1265" s="271">
        <v>1.1285000000000001</v>
      </c>
      <c r="Q1265" s="271">
        <v>1.1000000000000001</v>
      </c>
      <c r="R1265" s="271">
        <v>1.0989</v>
      </c>
      <c r="S1265" s="271">
        <v>1.0989</v>
      </c>
      <c r="T1265" s="271">
        <v>1.1017999999999999</v>
      </c>
      <c r="U1265" s="271">
        <v>1.1044</v>
      </c>
      <c r="V1265" s="271">
        <v>1.1037999999999999</v>
      </c>
      <c r="W1265" s="271">
        <v>1.1016999999999999</v>
      </c>
      <c r="X1265" s="271">
        <v>1.1015999999999999</v>
      </c>
      <c r="Y1265" s="271">
        <v>1.1014999999999999</v>
      </c>
      <c r="Z1265" s="273">
        <f ca="1">[1]ExtEntry!$R75</f>
        <v>1.1014999999999999</v>
      </c>
      <c r="AB1265" s="341">
        <v>3975.9999999999991</v>
      </c>
      <c r="AC1265" s="341">
        <v>3975.9999999999991</v>
      </c>
      <c r="AD1265" s="341">
        <v>3808</v>
      </c>
      <c r="AE1265" s="341">
        <v>4096.0000000000036</v>
      </c>
      <c r="AF1265" s="341">
        <v>4096.0000000000036</v>
      </c>
      <c r="AG1265" s="341">
        <v>4432.0000000000018</v>
      </c>
      <c r="AH1265" s="341">
        <v>5072.0000000000027</v>
      </c>
      <c r="AI1265" s="341">
        <v>4847.9999999999991</v>
      </c>
      <c r="AJ1265" s="341">
        <v>2492.0000000000009</v>
      </c>
      <c r="AK1265" s="341">
        <v>2388.0000000000018</v>
      </c>
      <c r="AL1265" s="341">
        <v>2728.0000000000014</v>
      </c>
      <c r="AM1265" s="341">
        <v>2292.0000000000018</v>
      </c>
      <c r="AN1265" s="341">
        <v>1884.0000000000005</v>
      </c>
      <c r="AO1265" s="341">
        <v>1879.9999999999991</v>
      </c>
      <c r="AP1265" s="341">
        <v>1807.9999999999998</v>
      </c>
      <c r="AQ1265" s="341">
        <v>1420.0000000000018</v>
      </c>
      <c r="AR1265" s="341">
        <v>1932.0000000000023</v>
      </c>
      <c r="AS1265" s="341">
        <v>1960.0000000000009</v>
      </c>
      <c r="AT1265" s="341">
        <v>1888.0000000000016</v>
      </c>
      <c r="AU1265" s="341">
        <v>1807.9999999999998</v>
      </c>
      <c r="AV1265" s="341">
        <f ca="1">Calc!W75</f>
        <v>1807.9999999999998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2.8466999999999998</v>
      </c>
      <c r="G1266" s="271">
        <v>2.8462999999999998</v>
      </c>
      <c r="H1266" s="271">
        <v>2.8414999999999999</v>
      </c>
      <c r="I1266" s="271">
        <v>2.8443999999999998</v>
      </c>
      <c r="J1266" s="271">
        <v>2.8443999999999998</v>
      </c>
      <c r="K1266" s="271">
        <v>2.8466999999999998</v>
      </c>
      <c r="L1266" s="271">
        <v>2.8473999999999999</v>
      </c>
      <c r="M1266" s="271">
        <v>2.8473999999999999</v>
      </c>
      <c r="N1266" s="271">
        <v>2.8488000000000002</v>
      </c>
      <c r="O1266" s="271">
        <v>2.8472</v>
      </c>
      <c r="P1266" s="271">
        <v>2.8490000000000002</v>
      </c>
      <c r="Q1266" s="271">
        <v>2.7890999999999999</v>
      </c>
      <c r="R1266" s="271">
        <v>2.7867999999999999</v>
      </c>
      <c r="S1266" s="271">
        <v>2.7867999999999999</v>
      </c>
      <c r="T1266" s="271">
        <v>2.7934999999999999</v>
      </c>
      <c r="U1266" s="271">
        <v>2.7930000000000001</v>
      </c>
      <c r="V1266" s="271">
        <v>2.7924000000000002</v>
      </c>
      <c r="W1266" s="271">
        <v>2.7913000000000001</v>
      </c>
      <c r="X1266" s="271">
        <v>2.7936999999999999</v>
      </c>
      <c r="Y1266" s="271">
        <v>2.786</v>
      </c>
      <c r="Z1266" s="273">
        <f ca="1">[1]ExtEntry!$R76</f>
        <v>2.786</v>
      </c>
      <c r="AB1266" s="341">
        <v>5079.9999999999955</v>
      </c>
      <c r="AC1266" s="341">
        <v>6039.0000000000109</v>
      </c>
      <c r="AD1266" s="341">
        <v>4920.0000000000045</v>
      </c>
      <c r="AE1266" s="341">
        <v>6520.0000000000045</v>
      </c>
      <c r="AF1266" s="341">
        <v>6520.0000000000045</v>
      </c>
      <c r="AG1266" s="341">
        <v>4479.9999999999955</v>
      </c>
      <c r="AH1266" s="341">
        <v>4920.0000000000045</v>
      </c>
      <c r="AI1266" s="341">
        <v>4000</v>
      </c>
      <c r="AJ1266" s="341">
        <v>839.99999999999773</v>
      </c>
      <c r="AK1266" s="341">
        <v>1639.9999999999977</v>
      </c>
      <c r="AL1266" s="341">
        <v>1020.0000000000045</v>
      </c>
      <c r="AM1266" s="341">
        <v>-274.50000000000045</v>
      </c>
      <c r="AN1266" s="341">
        <v>870.00000000000455</v>
      </c>
      <c r="AO1266" s="341">
        <v>-983.65999999999758</v>
      </c>
      <c r="AP1266" s="341">
        <v>-1219.9999999999989</v>
      </c>
      <c r="AQ1266" s="341">
        <v>-1209.9999999999966</v>
      </c>
      <c r="AR1266" s="341">
        <v>-950</v>
      </c>
      <c r="AS1266" s="341">
        <v>-1979.9999999999955</v>
      </c>
      <c r="AT1266" s="341">
        <v>-1529.9999999999955</v>
      </c>
      <c r="AU1266" s="341">
        <v>-1159.9999999999966</v>
      </c>
      <c r="AV1266" s="341">
        <f ca="1">Calc!W76</f>
        <v>-1159.9999999999966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1.5232000000000001</v>
      </c>
      <c r="G1267" s="271">
        <v>1.5230999999999999</v>
      </c>
      <c r="H1267" s="271">
        <v>1.5230999999999999</v>
      </c>
      <c r="I1267" s="271">
        <v>1.5234000000000001</v>
      </c>
      <c r="J1267" s="271">
        <v>1.5234000000000001</v>
      </c>
      <c r="K1267" s="271">
        <v>1.5229999999999999</v>
      </c>
      <c r="L1267" s="271">
        <v>1.5250999999999999</v>
      </c>
      <c r="M1267" s="271">
        <v>1.5245</v>
      </c>
      <c r="N1267" s="271">
        <v>1.5257000000000001</v>
      </c>
      <c r="O1267" s="271">
        <v>1.5266999999999999</v>
      </c>
      <c r="P1267" s="271">
        <v>1.5250999999999999</v>
      </c>
      <c r="Q1267" s="271">
        <v>1.5250999999999999</v>
      </c>
      <c r="R1267" s="271">
        <v>1.5392999999999999</v>
      </c>
      <c r="S1267" s="271">
        <v>1.5392999999999999</v>
      </c>
      <c r="T1267" s="271">
        <v>1.5410999999999999</v>
      </c>
      <c r="U1267" s="271">
        <v>1.5407999999999999</v>
      </c>
      <c r="V1267" s="271">
        <v>1.5410999999999999</v>
      </c>
      <c r="W1267" s="271">
        <v>1.5415000000000001</v>
      </c>
      <c r="X1267" s="271">
        <v>1.5407999999999999</v>
      </c>
      <c r="Y1267" s="271">
        <v>1.5385</v>
      </c>
      <c r="Z1267" s="273">
        <f ca="1">[1]ExtEntry!$R77</f>
        <v>1.5385</v>
      </c>
      <c r="AB1267" s="341">
        <v>10325.000000000007</v>
      </c>
      <c r="AC1267" s="341">
        <v>11050.000000000004</v>
      </c>
      <c r="AD1267" s="341">
        <v>11050.000000000004</v>
      </c>
      <c r="AE1267" s="341">
        <v>11697.000000000005</v>
      </c>
      <c r="AF1267" s="341">
        <v>11697.000000000005</v>
      </c>
      <c r="AG1267" s="341">
        <v>11275.000000000004</v>
      </c>
      <c r="AH1267" s="341">
        <v>12750.000000000004</v>
      </c>
      <c r="AI1267" s="341">
        <v>13000.000000000007</v>
      </c>
      <c r="AJ1267" s="341">
        <v>13380</v>
      </c>
      <c r="AK1267" s="341">
        <v>12200.000000000007</v>
      </c>
      <c r="AL1267" s="341">
        <v>12675</v>
      </c>
      <c r="AM1267" s="341">
        <v>12375.000000000007</v>
      </c>
      <c r="AN1267" s="341">
        <v>11974.499999999998</v>
      </c>
      <c r="AO1267" s="341">
        <v>11924.999999999998</v>
      </c>
      <c r="AP1267" s="341">
        <v>12225.000000000002</v>
      </c>
      <c r="AQ1267" s="341">
        <v>12200.000000000007</v>
      </c>
      <c r="AR1267" s="341">
        <v>11325.000000000004</v>
      </c>
      <c r="AS1267" s="341">
        <v>6585.0000000000009</v>
      </c>
      <c r="AT1267" s="341">
        <v>7560.0000000000036</v>
      </c>
      <c r="AU1267" s="341">
        <v>7335.0000000000009</v>
      </c>
      <c r="AV1267" s="341">
        <f ca="1">Calc!W77</f>
        <v>7335.0000000000009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1.5942000000000001</v>
      </c>
      <c r="G1268" s="271">
        <v>1.595</v>
      </c>
      <c r="H1268" s="271">
        <v>1.5960000000000001</v>
      </c>
      <c r="I1268" s="271">
        <v>1.5945</v>
      </c>
      <c r="J1268" s="271">
        <v>1.5945</v>
      </c>
      <c r="K1268" s="271">
        <v>1.5958000000000001</v>
      </c>
      <c r="L1268" s="271">
        <v>1.5941000000000001</v>
      </c>
      <c r="M1268" s="271">
        <v>1.5885</v>
      </c>
      <c r="N1268" s="271">
        <v>1.5953999999999999</v>
      </c>
      <c r="O1268" s="271">
        <v>1.6047</v>
      </c>
      <c r="P1268" s="271">
        <v>1.6009</v>
      </c>
      <c r="Q1268" s="271">
        <v>1.5649999999999999</v>
      </c>
      <c r="R1268" s="271">
        <v>1.5665</v>
      </c>
      <c r="S1268" s="271">
        <v>1.5665</v>
      </c>
      <c r="T1268" s="271">
        <v>1.5648</v>
      </c>
      <c r="U1268" s="271">
        <v>1.5658000000000001</v>
      </c>
      <c r="V1268" s="271">
        <v>1.5644</v>
      </c>
      <c r="W1268" s="271">
        <v>1.5648</v>
      </c>
      <c r="X1268" s="271">
        <v>1.5643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1.6385000000000001</v>
      </c>
      <c r="G1269" s="271">
        <v>1.6371</v>
      </c>
      <c r="H1269" s="271">
        <v>1.637</v>
      </c>
      <c r="I1269" s="271">
        <v>1.6373</v>
      </c>
      <c r="J1269" s="271">
        <v>1.6373</v>
      </c>
      <c r="K1269" s="271">
        <v>1.6375</v>
      </c>
      <c r="L1269" s="271">
        <v>1.6355999999999999</v>
      </c>
      <c r="M1269" s="271">
        <v>1.6365000000000001</v>
      </c>
      <c r="N1269" s="271">
        <v>1.6336999999999999</v>
      </c>
      <c r="O1269" s="271">
        <v>1.6313</v>
      </c>
      <c r="P1269" s="271">
        <v>1.6329</v>
      </c>
      <c r="Q1269" s="271">
        <v>1.6329</v>
      </c>
      <c r="R1269" s="271">
        <v>1.6722999999999999</v>
      </c>
      <c r="S1269" s="271">
        <v>1.6722999999999999</v>
      </c>
      <c r="T1269" s="271">
        <v>1.6724000000000001</v>
      </c>
      <c r="U1269" s="271">
        <v>1.6718999999999999</v>
      </c>
      <c r="V1269" s="271">
        <v>1.671</v>
      </c>
      <c r="W1269" s="271">
        <v>1.6714</v>
      </c>
      <c r="X1269" s="271">
        <v>1.6707000000000001</v>
      </c>
      <c r="Y1269" s="271">
        <v>1.67</v>
      </c>
      <c r="Z1269" s="273">
        <f ca="1">[1]ExtEntry!$R79</f>
        <v>1.67</v>
      </c>
      <c r="AB1269" s="341">
        <v>26976</v>
      </c>
      <c r="AC1269" s="341">
        <v>27248</v>
      </c>
      <c r="AD1269" s="341">
        <v>27297.559999999998</v>
      </c>
      <c r="AE1269" s="341">
        <v>27539.999999999996</v>
      </c>
      <c r="AF1269" s="341">
        <v>27539.999999999996</v>
      </c>
      <c r="AG1269" s="341">
        <v>23832.000000000004</v>
      </c>
      <c r="AH1269" s="341">
        <v>25296.000000000004</v>
      </c>
      <c r="AI1269" s="341">
        <v>23739.999999999996</v>
      </c>
      <c r="AJ1269" s="341">
        <v>0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1.4020999999999999</v>
      </c>
      <c r="G1270" s="271">
        <v>1.4023000000000001</v>
      </c>
      <c r="H1270" s="271">
        <v>1.4006000000000001</v>
      </c>
      <c r="I1270" s="271">
        <v>1.4015</v>
      </c>
      <c r="J1270" s="271">
        <v>1.4015</v>
      </c>
      <c r="K1270" s="271">
        <v>1.4026000000000001</v>
      </c>
      <c r="L1270" s="271">
        <v>1.4017999999999999</v>
      </c>
      <c r="M1270" s="271">
        <v>1.4023000000000001</v>
      </c>
      <c r="N1270" s="271">
        <v>1.4025000000000001</v>
      </c>
      <c r="O1270" s="271">
        <v>1.4021999999999999</v>
      </c>
      <c r="P1270" s="271">
        <v>1.4023000000000001</v>
      </c>
      <c r="Q1270" s="271">
        <v>1.4023000000000001</v>
      </c>
      <c r="R1270" s="271">
        <v>1.4161999999999999</v>
      </c>
      <c r="S1270" s="271">
        <v>1.4161999999999999</v>
      </c>
      <c r="T1270" s="271">
        <v>1.4139999999999999</v>
      </c>
      <c r="U1270" s="271">
        <v>1.4151</v>
      </c>
      <c r="V1270" s="271">
        <v>1.4146000000000001</v>
      </c>
      <c r="W1270" s="271">
        <v>1.4133</v>
      </c>
      <c r="X1270" s="271">
        <v>1.4134</v>
      </c>
      <c r="Y1270" s="271">
        <v>1.4144000000000001</v>
      </c>
      <c r="Z1270" s="273">
        <f ca="1">[1]ExtEntry!$R80</f>
        <v>1.4144000000000001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1.9649000000000001</v>
      </c>
      <c r="G1271" s="271">
        <v>1.9625999999999999</v>
      </c>
      <c r="H1271" s="271">
        <v>1.9637</v>
      </c>
      <c r="I1271" s="271">
        <v>1.9615</v>
      </c>
      <c r="J1271" s="271">
        <v>1.9615</v>
      </c>
      <c r="K1271" s="271">
        <v>1.9730000000000001</v>
      </c>
      <c r="L1271" s="271">
        <v>1.9520999999999999</v>
      </c>
      <c r="M1271" s="271">
        <v>1.9621</v>
      </c>
      <c r="N1271" s="271">
        <v>1.9487000000000001</v>
      </c>
      <c r="O1271" s="271">
        <v>1.9415</v>
      </c>
      <c r="P1271" s="271">
        <v>1.9483999999999999</v>
      </c>
      <c r="Q1271" s="271">
        <v>1.9483999999999999</v>
      </c>
      <c r="R1271" s="271">
        <v>2.0181</v>
      </c>
      <c r="S1271" s="271">
        <v>2.0181</v>
      </c>
      <c r="T1271" s="271">
        <v>2.0198</v>
      </c>
      <c r="U1271" s="271">
        <v>2.0221</v>
      </c>
      <c r="V1271" s="271">
        <v>2.0213999999999999</v>
      </c>
      <c r="W1271" s="271">
        <v>2.0230999999999999</v>
      </c>
      <c r="X1271" s="271">
        <v>2.0247999999999999</v>
      </c>
      <c r="Y1271" s="271">
        <v>2.0295999999999998</v>
      </c>
      <c r="Z1271" s="273">
        <f ca="1">[1]ExtEntry!$R81</f>
        <v>2.0295999999999998</v>
      </c>
      <c r="AB1271" s="341">
        <v>-38346.825000000004</v>
      </c>
      <c r="AC1271" s="341">
        <v>-39600.935000000005</v>
      </c>
      <c r="AD1271" s="341">
        <v>-41253.466100000005</v>
      </c>
      <c r="AE1271" s="341">
        <v>-43146.207500000004</v>
      </c>
      <c r="AF1271" s="341">
        <v>-43146.207500000004</v>
      </c>
      <c r="AG1271" s="341">
        <v>-43122.090000000004</v>
      </c>
      <c r="AH1271" s="341">
        <v>-43411.5</v>
      </c>
      <c r="AI1271" s="341">
        <v>-44376.200000000004</v>
      </c>
      <c r="AJ1271" s="341">
        <v>-44376.200000000004</v>
      </c>
      <c r="AK1271" s="341">
        <v>-44899.0674</v>
      </c>
      <c r="AL1271" s="341">
        <v>-45726.78</v>
      </c>
      <c r="AM1271" s="341">
        <v>-46643.24500000001</v>
      </c>
      <c r="AN1271" s="341">
        <v>-46209.130000000012</v>
      </c>
      <c r="AO1271" s="341">
        <v>-46209.130000000012</v>
      </c>
      <c r="AP1271" s="341">
        <v>-45823.25</v>
      </c>
      <c r="AQ1271" s="341">
        <v>-45630.310000000005</v>
      </c>
      <c r="AR1271" s="341">
        <v>-45630.310000000005</v>
      </c>
      <c r="AS1271" s="341">
        <v>-45919.720000000008</v>
      </c>
      <c r="AT1271" s="341">
        <v>-45051.49</v>
      </c>
      <c r="AU1271" s="341">
        <v>-43990.320000000007</v>
      </c>
      <c r="AV1271" s="341">
        <f ca="1">Calc!W81</f>
        <v>-43990.320000000007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1.1846000000000001</v>
      </c>
      <c r="G1272" s="271">
        <v>1.1839</v>
      </c>
      <c r="H1272" s="271">
        <v>1.1858</v>
      </c>
      <c r="I1272" s="271">
        <v>1.1856</v>
      </c>
      <c r="J1272" s="271">
        <v>1.1856</v>
      </c>
      <c r="K1272" s="271">
        <v>1.1854</v>
      </c>
      <c r="L1272" s="271">
        <v>1.1887000000000001</v>
      </c>
      <c r="M1272" s="271">
        <v>1.1870000000000001</v>
      </c>
      <c r="N1272" s="271">
        <v>1.1900999999999999</v>
      </c>
      <c r="O1272" s="271">
        <v>1.1904999999999999</v>
      </c>
      <c r="P1272" s="271">
        <v>1.1887000000000001</v>
      </c>
      <c r="Q1272" s="271">
        <v>1.1887000000000001</v>
      </c>
      <c r="R1272" s="271">
        <v>1.2117</v>
      </c>
      <c r="S1272" s="271">
        <v>1.2117</v>
      </c>
      <c r="T1272" s="271">
        <v>1.214</v>
      </c>
      <c r="U1272" s="271">
        <v>1.2143999999999999</v>
      </c>
      <c r="V1272" s="271">
        <v>1.2134</v>
      </c>
      <c r="W1272" s="271">
        <v>1.2135</v>
      </c>
      <c r="X1272" s="271">
        <v>1.2121999999999999</v>
      </c>
      <c r="Y1272" s="271">
        <v>1.2088000000000001</v>
      </c>
      <c r="Z1272" s="273">
        <f ca="1">[1]ExtEntry!$R82</f>
        <v>1.2088000000000001</v>
      </c>
      <c r="AB1272" s="341">
        <v>-295.43999999999784</v>
      </c>
      <c r="AC1272" s="341">
        <v>1077.1200000000008</v>
      </c>
      <c r="AD1272" s="341">
        <v>765.12000000000307</v>
      </c>
      <c r="AE1272" s="341">
        <v>915.12000000000307</v>
      </c>
      <c r="AF1272" s="341">
        <v>915.12000000000307</v>
      </c>
      <c r="AG1272" s="341">
        <v>579.12000000000171</v>
      </c>
      <c r="AH1272" s="341">
        <v>2181.1200000000026</v>
      </c>
      <c r="AI1272" s="341">
        <v>3249.1200000000035</v>
      </c>
      <c r="AJ1272" s="341">
        <v>3003.1200000000053</v>
      </c>
      <c r="AK1272" s="341">
        <v>2361.1200000000013</v>
      </c>
      <c r="AL1272" s="341">
        <v>2643.1200000000003</v>
      </c>
      <c r="AM1272" s="341">
        <v>1302.4800000000041</v>
      </c>
      <c r="AN1272" s="341">
        <v>2403.1200000000053</v>
      </c>
      <c r="AO1272" s="341">
        <v>1959.1200000000001</v>
      </c>
      <c r="AP1272" s="341">
        <v>507.1200000000033</v>
      </c>
      <c r="AQ1272" s="341">
        <v>1227.1200000000008</v>
      </c>
      <c r="AR1272" s="341">
        <v>351.12000000000023</v>
      </c>
      <c r="AS1272" s="341">
        <v>495.12000000000143</v>
      </c>
      <c r="AT1272" s="341">
        <v>1323.1200000000031</v>
      </c>
      <c r="AU1272" s="341">
        <v>1161.120000000001</v>
      </c>
      <c r="AV1272" s="341">
        <f ca="1">Calc!W82</f>
        <v>1161.120000000001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0.98719999999999997</v>
      </c>
      <c r="G1273" s="271">
        <v>0.98799999999999999</v>
      </c>
      <c r="H1273" s="271">
        <v>0.98770000000000002</v>
      </c>
      <c r="I1273" s="271">
        <v>0.9879</v>
      </c>
      <c r="J1273" s="271">
        <v>0.9879</v>
      </c>
      <c r="K1273" s="271">
        <v>0.98719999999999997</v>
      </c>
      <c r="L1273" s="271">
        <v>0.98980000000000001</v>
      </c>
      <c r="M1273" s="271">
        <v>0.98829999999999996</v>
      </c>
      <c r="N1273" s="271">
        <v>0.9889</v>
      </c>
      <c r="O1273" s="271">
        <v>0.98899999999999999</v>
      </c>
      <c r="P1273" s="271">
        <v>0.98919999999999997</v>
      </c>
      <c r="Q1273" s="271">
        <v>0.98919999999999997</v>
      </c>
      <c r="R1273" s="271">
        <v>0.98199999999999998</v>
      </c>
      <c r="S1273" s="271">
        <v>0.98199999999999998</v>
      </c>
      <c r="T1273" s="271">
        <v>0.98240000000000005</v>
      </c>
      <c r="U1273" s="271">
        <v>0.98370000000000002</v>
      </c>
      <c r="V1273" s="271">
        <v>0.98319999999999996</v>
      </c>
      <c r="W1273" s="271">
        <v>0.98299999999999998</v>
      </c>
      <c r="X1273" s="271">
        <v>0.98250000000000004</v>
      </c>
      <c r="Y1273" s="271">
        <v>0.98029999999999995</v>
      </c>
      <c r="Z1273" s="273">
        <f ca="1">[1]ExtEntry!$R83</f>
        <v>0.98029999999999995</v>
      </c>
      <c r="AB1273" s="341">
        <v>5998.0000000000018</v>
      </c>
      <c r="AC1273" s="341">
        <v>7258.0000000000155</v>
      </c>
      <c r="AD1273" s="341">
        <v>7020.0000000000045</v>
      </c>
      <c r="AE1273" s="341">
        <v>7730.3200000000061</v>
      </c>
      <c r="AF1273" s="341">
        <v>7730.3200000000061</v>
      </c>
      <c r="AG1273" s="341">
        <v>9220.0000000000036</v>
      </c>
      <c r="AH1273" s="341">
        <v>9272.0000000000036</v>
      </c>
      <c r="AI1273" s="341">
        <v>8960.0000000000146</v>
      </c>
      <c r="AJ1273" s="341">
        <v>8784.0000000000146</v>
      </c>
      <c r="AK1273" s="341">
        <v>8700</v>
      </c>
      <c r="AL1273" s="341">
        <v>9696.0000000000036</v>
      </c>
      <c r="AM1273" s="341">
        <v>7983.0000000000155</v>
      </c>
      <c r="AN1273" s="341">
        <v>8948.0000000000018</v>
      </c>
      <c r="AO1273" s="341">
        <v>9294.0000000000055</v>
      </c>
      <c r="AP1273" s="341">
        <v>9766.0000000000073</v>
      </c>
      <c r="AQ1273" s="341">
        <v>8020.0000000000045</v>
      </c>
      <c r="AR1273" s="341">
        <v>7390.0000000000091</v>
      </c>
      <c r="AS1273" s="341">
        <v>6514.00000000001</v>
      </c>
      <c r="AT1273" s="341">
        <v>8558.0000000000146</v>
      </c>
      <c r="AU1273" s="341">
        <v>6814.00000000001</v>
      </c>
      <c r="AV1273" s="341">
        <f ca="1">Calc!W83</f>
        <v>6814.00000000001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2.6983000000000001</v>
      </c>
      <c r="G1274" s="271">
        <v>2.7052999999999998</v>
      </c>
      <c r="H1274" s="271">
        <v>2.6978</v>
      </c>
      <c r="I1274" s="271">
        <v>2.6983999999999999</v>
      </c>
      <c r="J1274" s="271">
        <v>2.6983999999999999</v>
      </c>
      <c r="K1274" s="271">
        <v>2.6779000000000002</v>
      </c>
      <c r="L1274" s="271">
        <v>2.6878000000000002</v>
      </c>
      <c r="M1274" s="271">
        <v>2.6814</v>
      </c>
      <c r="N1274" s="271">
        <v>2.6840999999999999</v>
      </c>
      <c r="O1274" s="271">
        <v>2.6863999999999999</v>
      </c>
      <c r="P1274" s="271">
        <v>2.6833</v>
      </c>
      <c r="Q1274" s="271">
        <v>2.6833</v>
      </c>
      <c r="R1274" s="271">
        <v>2.7208999999999999</v>
      </c>
      <c r="S1274" s="271">
        <v>2.7208999999999999</v>
      </c>
      <c r="T1274" s="271">
        <v>2.7269000000000001</v>
      </c>
      <c r="U1274" s="271">
        <v>2.7240000000000002</v>
      </c>
      <c r="V1274" s="271">
        <v>2.7267999999999999</v>
      </c>
      <c r="W1274" s="271">
        <v>2.7269999999999999</v>
      </c>
      <c r="X1274" s="271">
        <v>2.7286999999999999</v>
      </c>
      <c r="Y1274" s="271">
        <v>2.734</v>
      </c>
      <c r="Z1274" s="273">
        <f ca="1">[1]ExtEntry!$R84</f>
        <v>2.734</v>
      </c>
      <c r="AB1274" s="341">
        <v>-3195.0000000000036</v>
      </c>
      <c r="AC1274" s="341">
        <v>-1507.5000000000039</v>
      </c>
      <c r="AD1274" s="341">
        <v>2047.5000000000002</v>
      </c>
      <c r="AE1274" s="341">
        <v>-1215.4499999999971</v>
      </c>
      <c r="AF1274" s="341">
        <v>-1215.4499999999971</v>
      </c>
      <c r="AG1274" s="341">
        <v>-4544.9999999999991</v>
      </c>
      <c r="AH1274" s="341">
        <v>-10035.000000000002</v>
      </c>
      <c r="AI1274" s="341">
        <v>-10125</v>
      </c>
      <c r="AJ1274" s="341">
        <v>-9765</v>
      </c>
      <c r="AK1274" s="341">
        <v>-10214.999999999998</v>
      </c>
      <c r="AL1274" s="341">
        <v>-10260.000000000002</v>
      </c>
      <c r="AM1274" s="341">
        <v>-10125</v>
      </c>
      <c r="AN1274" s="341">
        <v>-9855.0000000000018</v>
      </c>
      <c r="AO1274" s="341">
        <v>-10574.999999999998</v>
      </c>
      <c r="AP1274" s="341">
        <v>-8820</v>
      </c>
      <c r="AQ1274" s="341">
        <v>-9089.9999999999982</v>
      </c>
      <c r="AR1274" s="341">
        <v>-8055</v>
      </c>
      <c r="AS1274" s="341">
        <v>-8055</v>
      </c>
      <c r="AT1274" s="341">
        <v>-6637.4999999999982</v>
      </c>
      <c r="AU1274" s="341">
        <v>-7964.9999999999982</v>
      </c>
      <c r="AV1274" s="341">
        <f ca="1">Calc!W84</f>
        <v>-7964.9999999999982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0.61819999999999997</v>
      </c>
      <c r="G1275" s="271">
        <v>0.61890000000000001</v>
      </c>
      <c r="H1275" s="271">
        <v>0.62019999999999997</v>
      </c>
      <c r="I1275" s="271">
        <v>0.61829999999999996</v>
      </c>
      <c r="J1275" s="271">
        <v>0.61829999999999996</v>
      </c>
      <c r="K1275" s="271">
        <v>0.61460000000000004</v>
      </c>
      <c r="L1275" s="271">
        <v>0.62180000000000002</v>
      </c>
      <c r="M1275" s="271">
        <v>0.61770000000000003</v>
      </c>
      <c r="N1275" s="271">
        <v>0.62150000000000005</v>
      </c>
      <c r="O1275" s="271">
        <v>0.62350000000000005</v>
      </c>
      <c r="P1275" s="271">
        <v>0.62070000000000003</v>
      </c>
      <c r="Q1275" s="271">
        <v>0.62070000000000003</v>
      </c>
      <c r="R1275" s="271">
        <v>0.63400000000000001</v>
      </c>
      <c r="S1275" s="271">
        <v>0.63400000000000001</v>
      </c>
      <c r="T1275" s="271">
        <v>0.6341</v>
      </c>
      <c r="U1275" s="271">
        <v>0.63300000000000001</v>
      </c>
      <c r="V1275" s="271">
        <v>0.63390000000000002</v>
      </c>
      <c r="W1275" s="271">
        <v>0.63439999999999996</v>
      </c>
      <c r="X1275" s="271">
        <v>0.63460000000000005</v>
      </c>
      <c r="Y1275" s="271">
        <v>0.63429999999999997</v>
      </c>
      <c r="Z1275" s="273">
        <f ca="1">[1]ExtEntry!$R85</f>
        <v>0.63429999999999997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0.28649999999999998</v>
      </c>
      <c r="G1276" s="271">
        <v>0.28949999999999998</v>
      </c>
      <c r="H1276" s="271">
        <v>0.29389999999999999</v>
      </c>
      <c r="I1276" s="271">
        <v>0.29770000000000002</v>
      </c>
      <c r="J1276" s="271">
        <v>0.29770000000000002</v>
      </c>
      <c r="K1276" s="271">
        <v>0.29470000000000002</v>
      </c>
      <c r="L1276" s="271">
        <v>0.29859999999999998</v>
      </c>
      <c r="M1276" s="271">
        <v>0.29820000000000002</v>
      </c>
      <c r="N1276" s="271">
        <v>0.29199999999999998</v>
      </c>
      <c r="O1276" s="271">
        <v>0.28760000000000002</v>
      </c>
      <c r="P1276" s="271">
        <v>0.2893</v>
      </c>
      <c r="Q1276" s="271">
        <v>0.2742</v>
      </c>
      <c r="R1276" s="271">
        <v>0.2752</v>
      </c>
      <c r="S1276" s="271">
        <v>0.2752</v>
      </c>
      <c r="T1276" s="271">
        <v>0.27529999999999999</v>
      </c>
      <c r="U1276" s="271">
        <v>0.27610000000000001</v>
      </c>
      <c r="V1276" s="271">
        <v>0.27729999999999999</v>
      </c>
      <c r="W1276" s="271">
        <v>0.27510000000000001</v>
      </c>
      <c r="X1276" s="271">
        <v>0.2747</v>
      </c>
      <c r="Y1276" s="271">
        <v>0.27439999999999998</v>
      </c>
      <c r="Z1276" s="273">
        <f ca="1">[1]ExtEntry!$R86</f>
        <v>0.27439999999999998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1.0397000000000001</v>
      </c>
      <c r="G1277" s="271">
        <v>1.0397000000000001</v>
      </c>
      <c r="H1277" s="271">
        <v>1.0394000000000001</v>
      </c>
      <c r="I1277" s="271">
        <v>1.0397000000000001</v>
      </c>
      <c r="J1277" s="271">
        <v>1.0397000000000001</v>
      </c>
      <c r="K1277" s="271">
        <v>1.0411999999999999</v>
      </c>
      <c r="L1277" s="271">
        <v>1.0414000000000001</v>
      </c>
      <c r="M1277" s="271">
        <v>1.042</v>
      </c>
      <c r="N1277" s="271">
        <v>1.0418000000000001</v>
      </c>
      <c r="O1277" s="271">
        <v>1.0434000000000001</v>
      </c>
      <c r="P1277" s="271">
        <v>1.044</v>
      </c>
      <c r="Q1277" s="271">
        <v>1.044</v>
      </c>
      <c r="R1277" s="271">
        <v>0.96419999999999995</v>
      </c>
      <c r="S1277" s="271">
        <v>0.96419999999999995</v>
      </c>
      <c r="T1277" s="271">
        <v>0.96530000000000005</v>
      </c>
      <c r="U1277" s="271">
        <v>0.96750000000000003</v>
      </c>
      <c r="V1277" s="271">
        <v>0.96709999999999996</v>
      </c>
      <c r="W1277" s="271">
        <v>0.9657</v>
      </c>
      <c r="X1277" s="271">
        <v>0.96350000000000002</v>
      </c>
      <c r="Y1277" s="271">
        <v>0.95840000000000003</v>
      </c>
      <c r="Z1277" s="273">
        <f ca="1">[1]ExtEntry!$R87</f>
        <v>0.95840000000000003</v>
      </c>
      <c r="AB1277" s="341">
        <v>-3000</v>
      </c>
      <c r="AC1277" s="341">
        <v>-2399.9999999999986</v>
      </c>
      <c r="AD1277" s="341">
        <v>-3160.1</v>
      </c>
      <c r="AE1277" s="341">
        <v>-3245.0000000000045</v>
      </c>
      <c r="AF1277" s="341">
        <v>-3245.0000000000045</v>
      </c>
      <c r="AG1277" s="341">
        <v>-2955.0000000000055</v>
      </c>
      <c r="AH1277" s="341">
        <v>-820.00000000000023</v>
      </c>
      <c r="AI1277" s="341">
        <v>-1195.0000000000002</v>
      </c>
      <c r="AJ1277" s="341">
        <v>-335.00000000000085</v>
      </c>
      <c r="AK1277" s="341">
        <v>-330.0000000000054</v>
      </c>
      <c r="AL1277" s="341">
        <v>369.99999999999744</v>
      </c>
      <c r="AM1277" s="341">
        <v>579.99999999999829</v>
      </c>
      <c r="AN1277" s="341">
        <v>-487.00000000000188</v>
      </c>
      <c r="AO1277" s="341">
        <v>-940.00000000000477</v>
      </c>
      <c r="AP1277" s="341">
        <v>-630.0000000000025</v>
      </c>
      <c r="AQ1277" s="341">
        <v>-1840.0000000000034</v>
      </c>
      <c r="AR1277" s="341">
        <v>-2109.9999999999995</v>
      </c>
      <c r="AS1277" s="341">
        <v>-945.00000000000023</v>
      </c>
      <c r="AT1277" s="341">
        <v>-1190.0000000000048</v>
      </c>
      <c r="AU1277" s="341">
        <v>-1580.0000000000055</v>
      </c>
      <c r="AV1277" s="341">
        <f ca="1">Calc!W87</f>
        <v>-1580.0000000000055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0.50870000000000004</v>
      </c>
      <c r="G1278" s="271">
        <v>0.50880000000000003</v>
      </c>
      <c r="H1278" s="271">
        <v>0.50880000000000003</v>
      </c>
      <c r="I1278" s="271">
        <v>0.50690000000000002</v>
      </c>
      <c r="J1278" s="271">
        <v>0.50690000000000002</v>
      </c>
      <c r="K1278" s="271">
        <v>0.50319999999999998</v>
      </c>
      <c r="L1278" s="271">
        <v>0.51090000000000002</v>
      </c>
      <c r="M1278" s="271">
        <v>0.50600000000000001</v>
      </c>
      <c r="N1278" s="271">
        <v>0.50790000000000002</v>
      </c>
      <c r="O1278" s="271">
        <v>0.50980000000000003</v>
      </c>
      <c r="P1278" s="271">
        <v>0.5071</v>
      </c>
      <c r="Q1278" s="271">
        <v>0.5071</v>
      </c>
      <c r="R1278" s="271">
        <v>0.50390000000000001</v>
      </c>
      <c r="S1278" s="271">
        <v>0.50390000000000001</v>
      </c>
      <c r="T1278" s="271">
        <v>0.50739999999999996</v>
      </c>
      <c r="U1278" s="271">
        <v>0.50639999999999996</v>
      </c>
      <c r="V1278" s="271">
        <v>0.50739999999999996</v>
      </c>
      <c r="W1278" s="271">
        <v>0.50719999999999998</v>
      </c>
      <c r="X1278" s="271">
        <v>0.50729999999999997</v>
      </c>
      <c r="Y1278" s="271">
        <v>0.50749999999999995</v>
      </c>
      <c r="Z1278" s="273">
        <f ca="1">[1]ExtEntry!$R88</f>
        <v>0.50749999999999995</v>
      </c>
      <c r="AB1278" s="341">
        <v>175.99999999999909</v>
      </c>
      <c r="AC1278" s="341">
        <v>151.83999999999855</v>
      </c>
      <c r="AD1278" s="341">
        <v>312.00000000000045</v>
      </c>
      <c r="AE1278" s="341">
        <v>602.40000000000009</v>
      </c>
      <c r="AF1278" s="341">
        <v>602.40000000000009</v>
      </c>
      <c r="AG1278" s="341">
        <v>695.99999999999795</v>
      </c>
      <c r="AH1278" s="341">
        <v>303.99999999999636</v>
      </c>
      <c r="AI1278" s="341">
        <v>-31.999999999999318</v>
      </c>
      <c r="AJ1278" s="341">
        <v>200</v>
      </c>
      <c r="AK1278" s="341">
        <v>-552.00000000000387</v>
      </c>
      <c r="AL1278" s="341">
        <v>-287.99999999999955</v>
      </c>
      <c r="AM1278" s="341">
        <v>-186.5600000000029</v>
      </c>
      <c r="AN1278" s="341">
        <v>56.000000000000227</v>
      </c>
      <c r="AO1278" s="341">
        <v>-240.00000000000341</v>
      </c>
      <c r="AP1278" s="341">
        <v>-640.00000000000341</v>
      </c>
      <c r="AQ1278" s="341">
        <v>-600</v>
      </c>
      <c r="AR1278" s="341">
        <v>-352.00000000000387</v>
      </c>
      <c r="AS1278" s="341">
        <v>-560.00000000000227</v>
      </c>
      <c r="AT1278" s="341">
        <v>-160.00000000000227</v>
      </c>
      <c r="AU1278" s="341">
        <v>-1696.0000000000036</v>
      </c>
      <c r="AV1278" s="341">
        <f ca="1">Calc!W88</f>
        <v>-1696.0000000000036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2.7907000000000002</v>
      </c>
      <c r="G1279" s="271">
        <v>2.7906</v>
      </c>
      <c r="H1279" s="271">
        <v>2.7890999999999999</v>
      </c>
      <c r="I1279" s="271">
        <v>2.7909000000000002</v>
      </c>
      <c r="J1279" s="271">
        <v>2.7909000000000002</v>
      </c>
      <c r="K1279" s="271">
        <v>2.7932999999999999</v>
      </c>
      <c r="L1279" s="271">
        <v>2.7913999999999999</v>
      </c>
      <c r="M1279" s="271">
        <v>2.7936000000000001</v>
      </c>
      <c r="N1279" s="271">
        <v>2.7915000000000001</v>
      </c>
      <c r="O1279" s="271">
        <v>2.7942999999999998</v>
      </c>
      <c r="P1279" s="271">
        <v>2.7915999999999999</v>
      </c>
      <c r="Q1279" s="271">
        <v>2.7915999999999999</v>
      </c>
      <c r="R1279" s="271">
        <v>2.6884999999999999</v>
      </c>
      <c r="S1279" s="271">
        <v>2.6884999999999999</v>
      </c>
      <c r="T1279" s="271">
        <v>2.6907000000000001</v>
      </c>
      <c r="U1279" s="271">
        <v>2.6911</v>
      </c>
      <c r="V1279" s="271">
        <v>2.6894999999999998</v>
      </c>
      <c r="W1279" s="271">
        <v>2.6901999999999999</v>
      </c>
      <c r="X1279" s="271">
        <v>2.6899000000000002</v>
      </c>
      <c r="Y1279" s="271">
        <v>2.6903999999999999</v>
      </c>
      <c r="Z1279" s="273">
        <f ca="1">[1]ExtEntry!$R89</f>
        <v>2.6903999999999999</v>
      </c>
      <c r="AB1279" s="341">
        <v>-2720</v>
      </c>
      <c r="AC1279" s="341">
        <v>-1875.0000000000045</v>
      </c>
      <c r="AD1279" s="341">
        <v>-3002.4999999999968</v>
      </c>
      <c r="AE1279" s="341">
        <v>-4625.0000000000009</v>
      </c>
      <c r="AF1279" s="341">
        <v>-4625.0000000000009</v>
      </c>
      <c r="AG1279" s="341">
        <v>-6125.0000000000027</v>
      </c>
      <c r="AH1279" s="341">
        <v>1375.0000000000041</v>
      </c>
      <c r="AI1279" s="341">
        <v>-375.00000000000313</v>
      </c>
      <c r="AJ1279" s="341">
        <v>3374.9999999999945</v>
      </c>
      <c r="AK1279" s="341">
        <v>1617.4999999999939</v>
      </c>
      <c r="AL1279" s="341">
        <v>-250.00000000000577</v>
      </c>
      <c r="AM1279" s="341">
        <v>-375.00000000000313</v>
      </c>
      <c r="AN1279" s="341">
        <v>-1370.0000000000045</v>
      </c>
      <c r="AO1279" s="341">
        <v>-1249.9999999999955</v>
      </c>
      <c r="AP1279" s="341">
        <v>1500.0000000000014</v>
      </c>
      <c r="AQ1279" s="341">
        <v>3000.0000000000027</v>
      </c>
      <c r="AR1279" s="341">
        <v>2374.9999999999936</v>
      </c>
      <c r="AS1279" s="341">
        <v>4874.9999999999964</v>
      </c>
      <c r="AT1279" s="341">
        <v>5362.5000000000036</v>
      </c>
      <c r="AU1279" s="341">
        <v>6625.0000000000027</v>
      </c>
      <c r="AV1279" s="341">
        <f ca="1">Calc!W89</f>
        <v>6625.0000000000027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0.55449999999999999</v>
      </c>
      <c r="G1280" s="271">
        <v>0.55389999999999995</v>
      </c>
      <c r="H1280" s="271">
        <v>0.55420000000000003</v>
      </c>
      <c r="I1280" s="271">
        <v>0.55520000000000003</v>
      </c>
      <c r="J1280" s="271">
        <v>0.55520000000000003</v>
      </c>
      <c r="K1280" s="271">
        <v>0.56169999999999998</v>
      </c>
      <c r="L1280" s="271">
        <v>0.5524</v>
      </c>
      <c r="M1280" s="271">
        <v>0.55720000000000003</v>
      </c>
      <c r="N1280" s="271">
        <v>0.55379999999999996</v>
      </c>
      <c r="O1280" s="271">
        <v>0.55110000000000003</v>
      </c>
      <c r="P1280" s="271">
        <v>0.55510000000000004</v>
      </c>
      <c r="Q1280" s="271">
        <v>0.55510000000000004</v>
      </c>
      <c r="R1280" s="271">
        <v>0.50749999999999995</v>
      </c>
      <c r="S1280" s="271">
        <v>0.50749999999999995</v>
      </c>
      <c r="T1280" s="271">
        <v>0.50549999999999995</v>
      </c>
      <c r="U1280" s="271">
        <v>0.50629999999999997</v>
      </c>
      <c r="V1280" s="271">
        <v>0.50700000000000001</v>
      </c>
      <c r="W1280" s="271">
        <v>0.50590000000000002</v>
      </c>
      <c r="X1280" s="271">
        <v>0.505</v>
      </c>
      <c r="Y1280" s="271">
        <v>0.50390000000000001</v>
      </c>
      <c r="Z1280" s="273">
        <f ca="1">[1]ExtEntry!$R90</f>
        <v>0.50390000000000001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2.6772999999999998</v>
      </c>
      <c r="G1281" s="263">
        <v>2.6762999999999999</v>
      </c>
      <c r="H1281" s="263">
        <v>2.6760999999999999</v>
      </c>
      <c r="I1281" s="263">
        <v>2.6781000000000001</v>
      </c>
      <c r="J1281" s="263">
        <v>2.6781000000000001</v>
      </c>
      <c r="K1281" s="263">
        <v>2.6793</v>
      </c>
      <c r="L1281" s="263">
        <v>2.6791999999999998</v>
      </c>
      <c r="M1281" s="263">
        <v>2.6797</v>
      </c>
      <c r="N1281" s="263">
        <v>2.6789999999999998</v>
      </c>
      <c r="O1281" s="263">
        <v>2.6789999999999998</v>
      </c>
      <c r="P1281" s="263">
        <v>2.6798000000000002</v>
      </c>
      <c r="Q1281" s="263">
        <v>2.6798000000000002</v>
      </c>
      <c r="R1281" s="263">
        <v>2.7425000000000002</v>
      </c>
      <c r="S1281" s="263">
        <v>2.7425000000000002</v>
      </c>
      <c r="T1281" s="263">
        <v>2.7450000000000001</v>
      </c>
      <c r="U1281" s="263">
        <v>2.7463000000000002</v>
      </c>
      <c r="V1281" s="263">
        <v>2.7454000000000001</v>
      </c>
      <c r="W1281" s="263">
        <v>2.7450999999999999</v>
      </c>
      <c r="X1281" s="263">
        <v>2.7443</v>
      </c>
      <c r="Y1281" s="263">
        <v>2.7383000000000002</v>
      </c>
      <c r="Z1281" s="265">
        <f ca="1">[1]ExtEntry!$R91</f>
        <v>2.7383000000000002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1.5522</v>
      </c>
      <c r="G1282" s="271">
        <v>1.5524</v>
      </c>
      <c r="H1282" s="271">
        <v>1.5522</v>
      </c>
      <c r="I1282" s="271">
        <v>1.5519000000000001</v>
      </c>
      <c r="J1282" s="271">
        <v>1.5519000000000001</v>
      </c>
      <c r="K1282" s="271">
        <v>1.5512999999999999</v>
      </c>
      <c r="L1282" s="271">
        <v>1.5555000000000001</v>
      </c>
      <c r="M1282" s="271">
        <v>1.5538000000000001</v>
      </c>
      <c r="N1282" s="271">
        <v>1.5557000000000001</v>
      </c>
      <c r="O1282" s="271">
        <v>1.5576000000000001</v>
      </c>
      <c r="P1282" s="271">
        <v>1.5569999999999999</v>
      </c>
      <c r="Q1282" s="271">
        <v>1.5569999999999999</v>
      </c>
      <c r="R1282" s="271">
        <v>1.52</v>
      </c>
      <c r="S1282" s="271">
        <v>1.52</v>
      </c>
      <c r="T1282" s="271">
        <v>1.5184</v>
      </c>
      <c r="U1282" s="271">
        <v>1.5163</v>
      </c>
      <c r="V1282" s="271">
        <v>1.5182</v>
      </c>
      <c r="W1282" s="271">
        <v>1.5179</v>
      </c>
      <c r="X1282" s="271">
        <v>1.5188999999999999</v>
      </c>
      <c r="Y1282" s="271">
        <v>1.5185999999999999</v>
      </c>
      <c r="Z1282" s="273">
        <f ca="1">[1]ExtEntry!$R92</f>
        <v>1.5185999999999999</v>
      </c>
      <c r="AB1282" s="341">
        <v>19185.000000000004</v>
      </c>
      <c r="AC1282" s="341">
        <v>18269.999999999982</v>
      </c>
      <c r="AD1282" s="341">
        <v>20359.999999999985</v>
      </c>
      <c r="AE1282" s="341">
        <v>24299.999999999982</v>
      </c>
      <c r="AF1282" s="341">
        <v>24299.999999999982</v>
      </c>
      <c r="AG1282" s="341">
        <v>29759.999999999993</v>
      </c>
      <c r="AH1282" s="341">
        <v>28049.999999999982</v>
      </c>
      <c r="AI1282" s="341">
        <v>27859.999999999985</v>
      </c>
      <c r="AJ1282" s="341">
        <v>29769.999999999982</v>
      </c>
      <c r="AK1282" s="341">
        <v>30114.999999999982</v>
      </c>
      <c r="AL1282" s="341">
        <v>32150.000000000007</v>
      </c>
      <c r="AM1282" s="341">
        <v>32668.999999999982</v>
      </c>
      <c r="AN1282" s="341">
        <v>33849.999999999993</v>
      </c>
      <c r="AO1282" s="341">
        <v>34729.999999999993</v>
      </c>
      <c r="AP1282" s="341">
        <v>40340</v>
      </c>
      <c r="AQ1282" s="341">
        <v>40269.999999999985</v>
      </c>
      <c r="AR1282" s="341">
        <v>44209.999999999978</v>
      </c>
      <c r="AS1282" s="341">
        <v>39599.999999999993</v>
      </c>
      <c r="AT1282" s="341">
        <v>41129.999999999993</v>
      </c>
      <c r="AU1282" s="341">
        <v>40489.999999999978</v>
      </c>
      <c r="AV1282" s="341">
        <f ca="1">Calc!W92</f>
        <v>40489.999999999978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0.71479999999999999</v>
      </c>
      <c r="G1284" s="271">
        <v>0.71519999999999995</v>
      </c>
      <c r="H1284" s="271">
        <v>0.71479999999999999</v>
      </c>
      <c r="I1284" s="271">
        <v>0.71489999999999998</v>
      </c>
      <c r="J1284" s="271">
        <v>0.71489999999999998</v>
      </c>
      <c r="K1284" s="271">
        <v>0.71530000000000005</v>
      </c>
      <c r="L1284" s="271">
        <v>0.7157</v>
      </c>
      <c r="M1284" s="271">
        <v>0.71479999999999999</v>
      </c>
      <c r="N1284" s="271">
        <v>0.7157</v>
      </c>
      <c r="O1284" s="271">
        <v>0.71630000000000005</v>
      </c>
      <c r="P1284" s="271">
        <v>0.71930000000000005</v>
      </c>
      <c r="Q1284" s="271">
        <v>0.71289999999999998</v>
      </c>
      <c r="R1284" s="271">
        <v>0.71479999999999999</v>
      </c>
      <c r="S1284" s="271">
        <v>0.71479999999999999</v>
      </c>
      <c r="T1284" s="271">
        <v>0.71540000000000004</v>
      </c>
      <c r="U1284" s="271">
        <v>0.71319999999999995</v>
      </c>
      <c r="V1284" s="271">
        <v>0.71040000000000003</v>
      </c>
      <c r="W1284" s="271">
        <v>0.71230000000000004</v>
      </c>
      <c r="X1284" s="271">
        <v>0.71150000000000002</v>
      </c>
      <c r="Y1284" s="271">
        <v>0.71130000000000004</v>
      </c>
      <c r="Z1284" s="273">
        <f ca="1">[1]ExtEntry!$R94</f>
        <v>0.71130000000000004</v>
      </c>
      <c r="AB1284" s="341">
        <v>2509.9999999999982</v>
      </c>
      <c r="AC1284" s="341">
        <v>2239.9999999999986</v>
      </c>
      <c r="AD1284" s="341">
        <v>1969.9999999999989</v>
      </c>
      <c r="AE1284" s="341">
        <v>1929.9999999999998</v>
      </c>
      <c r="AF1284" s="341">
        <v>1929.9999999999998</v>
      </c>
      <c r="AG1284" s="341">
        <v>1769.9999999999995</v>
      </c>
      <c r="AH1284" s="341">
        <v>1369.9999999999975</v>
      </c>
      <c r="AI1284" s="341">
        <v>1679.9999999999998</v>
      </c>
      <c r="AJ1284" s="341">
        <v>1890.0000000000005</v>
      </c>
      <c r="AK1284" s="341">
        <v>1570.0000000000002</v>
      </c>
      <c r="AL1284" s="341">
        <v>750</v>
      </c>
      <c r="AM1284" s="341">
        <v>-724.99999999999784</v>
      </c>
      <c r="AN1284" s="341">
        <v>-1074.9999999999993</v>
      </c>
      <c r="AO1284" s="341">
        <v>975.00000000000136</v>
      </c>
      <c r="AP1284" s="341">
        <v>1099.9999999999943</v>
      </c>
      <c r="AQ1284" s="341">
        <v>2625.0000000000018</v>
      </c>
      <c r="AR1284" s="341">
        <v>2424.9999999999973</v>
      </c>
      <c r="AS1284" s="341">
        <v>2549.9999999999991</v>
      </c>
      <c r="AT1284" s="341">
        <v>2374.9999999999982</v>
      </c>
      <c r="AU1284" s="341">
        <v>3525.0000000000005</v>
      </c>
      <c r="AV1284" s="341">
        <f ca="1">Calc!W94</f>
        <v>3525.0000000000005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0.62690000000000001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325593.30000000005</v>
      </c>
      <c r="AC1285" s="341">
        <v>328762.11000000004</v>
      </c>
      <c r="AD1285" s="341">
        <v>334305.60000000003</v>
      </c>
      <c r="AE1285" s="341">
        <v>332763.60000000003</v>
      </c>
      <c r="AF1285" s="341">
        <v>332763.60000000003</v>
      </c>
      <c r="AG1285" s="341">
        <v>326749.8</v>
      </c>
      <c r="AH1285" s="341">
        <v>344251.5</v>
      </c>
      <c r="AI1285" s="341">
        <v>335385</v>
      </c>
      <c r="AJ1285" s="341">
        <v>349340.10000000003</v>
      </c>
      <c r="AK1285" s="341">
        <v>356510.4</v>
      </c>
      <c r="AL1285" s="341">
        <v>359208.90000000008</v>
      </c>
      <c r="AM1285" s="341">
        <v>344020.19999999995</v>
      </c>
      <c r="AN1285" s="341">
        <v>345947.7</v>
      </c>
      <c r="AO1285" s="341">
        <v>352115.7</v>
      </c>
      <c r="AP1285" s="341">
        <v>359286</v>
      </c>
      <c r="AQ1285" s="341">
        <v>372547.20000000007</v>
      </c>
      <c r="AR1285" s="341">
        <v>373935</v>
      </c>
      <c r="AS1285" s="341">
        <v>381644.99999999994</v>
      </c>
      <c r="AT1285" s="341">
        <v>389971.8</v>
      </c>
      <c r="AU1285" s="341">
        <v>382493.10000000003</v>
      </c>
      <c r="AV1285" s="341">
        <f ca="1">Calc!W95</f>
        <v>382493.10000000003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996.45000000000266</v>
      </c>
      <c r="AC1289" s="102" cm="1">
        <f t="array" aca="1" ref="AC1289" ca="1">_xlfn.XLOOKUP(DataShiftChartTicker,ListTickers,Tab2ReBuy[RevBuy1])</f>
        <v>243.75</v>
      </c>
      <c r="AD1289" s="102" cm="1">
        <f t="array" aca="1" ref="AD1289" ca="1">_xlfn.XLOOKUP(DataShiftChartTicker,ListTickers,Tab2ReBuy[RevBuy2])</f>
        <v>461.8380000000127</v>
      </c>
      <c r="AE1289" s="102" cm="1">
        <f t="array" aca="1" ref="AE1289" ca="1">_xlfn.XLOOKUP(DataShiftChartTicker,ListTickers,Tab2ReBuy[RevBuy3])</f>
        <v>1617.251999999994</v>
      </c>
      <c r="AF1289" s="102" cm="1">
        <f t="array" aca="1" ref="AF1289" ca="1">_xlfn.XLOOKUP(DataShiftChartTicker,ListTickers,Tab2ReBuy[RevBuy4])</f>
        <v>1617.251999999994</v>
      </c>
      <c r="AG1289" s="102" cm="1">
        <f t="array" aca="1" ref="AG1289" ca="1">_xlfn.XLOOKUP(DataShiftChartTicker,ListTickers,Tab2ReBuy[RevBuy5])</f>
        <v>3911.7000000000116</v>
      </c>
      <c r="AH1289" s="102" cm="1">
        <f t="array" aca="1" ref="AH1289" ca="1">_xlfn.XLOOKUP(DataShiftChartTicker,ListTickers,Tab2ReBuy[RevBuy6])</f>
        <v>-4941.3000000000065</v>
      </c>
      <c r="AI1289" s="102" cm="1">
        <f t="array" aca="1" ref="AI1289" ca="1">_xlfn.XLOOKUP(DataShiftChartTicker,ListTickers,Tab2ReBuy[RevBuy7])</f>
        <v>-6918.600000000004</v>
      </c>
      <c r="AJ1289" s="102" cm="1">
        <f t="array" aca="1" ref="AJ1289" ca="1">_xlfn.XLOOKUP(DataShiftChartTicker,ListTickers,Tab2ReBuy[RevBuy8])</f>
        <v>-6111.3000000000065</v>
      </c>
      <c r="AK1289" s="102" cm="1">
        <f t="array" aca="1" ref="AK1289" ca="1">_xlfn.XLOOKUP(DataShiftChartTicker,ListTickers,Tab2ReBuy[RevBuy9])</f>
        <v>-4308.7200000000012</v>
      </c>
      <c r="AL1289" s="102" cm="1">
        <f t="array" aca="1" ref="AL1289" ca="1">_xlfn.XLOOKUP(DataShiftChartTicker,ListTickers,Tab2ReBuy[RevBuy10])</f>
        <v>23.400000000000887</v>
      </c>
      <c r="AM1289" s="102" cm="1">
        <f t="array" aca="1" ref="AM1289" ca="1">_xlfn.XLOOKUP(DataShiftChartTicker,ListTickers,Tab2ReBuy[RevBuy11])</f>
        <v>2416.7519999999986</v>
      </c>
      <c r="AN1289" s="102" cm="1">
        <f t="array" aca="1" ref="AN1289" ca="1">_xlfn.XLOOKUP(DataShiftChartTicker,ListTickers,Tab2ReBuy[RevBuy12])</f>
        <v>631.80000000000177</v>
      </c>
      <c r="AO1289" s="102" cm="1">
        <f t="array" aca="1" ref="AO1289" ca="1">_xlfn.XLOOKUP(DataShiftChartTicker,ListTickers,Tab2ReBuy[RevBuy13])</f>
        <v>-62.399999999987585</v>
      </c>
      <c r="AP1289" s="102" cm="1">
        <f t="array" aca="1" ref="AP1289" ca="1">_xlfn.XLOOKUP(DataShiftChartTicker,ListTickers,Tab2ReBuy[RevBuy14])</f>
        <v>-1793.9999999999868</v>
      </c>
      <c r="AQ1289" s="102" cm="1">
        <f t="array" aca="1" ref="AQ1289" ca="1">_xlfn.XLOOKUP(DataShiftChartTicker,ListTickers,Tab2ReBuy[RevBuy15])</f>
        <v>-4863.2999999999884</v>
      </c>
      <c r="AR1289" s="102" cm="1">
        <f t="array" aca="1" ref="AR1289" ca="1">_xlfn.XLOOKUP(DataShiftChartTicker,ListTickers,Tab2ReBuy[RevBuy16])</f>
        <v>-5085.6000000000076</v>
      </c>
      <c r="AS1289" s="102" cm="1">
        <f t="array" aca="1" ref="AS1289" ca="1">_xlfn.XLOOKUP(DataShiftChartTicker,ListTickers,Tab2ReBuy[RevBuy17])</f>
        <v>-5405.4000000000051</v>
      </c>
      <c r="AT1289" s="102" cm="1">
        <f t="array" aca="1" ref="AT1289" ca="1">_xlfn.XLOOKUP(DataShiftChartTicker,ListTickers,Tab2ReBuy[RevBuy18])</f>
        <v>-13447.200000000008</v>
      </c>
      <c r="AU1289" s="102" cm="1">
        <f t="array" aca="1" ref="AU1289" ca="1">_xlfn.XLOOKUP(DataShiftChartTicker,ListTickers,Tab2ReBuy[RevBuy19])</f>
        <v>-24183.899999999998</v>
      </c>
      <c r="AV1289" s="102" cm="1">
        <f t="array" aca="1" ref="AV1289" ca="1">_xlfn.XLOOKUP(DataShiftChartTicker,ListTickers,Tab2ReBuy[RevBuy20])</f>
        <v>-24183.899999999998</v>
      </c>
      <c r="AX1289" s="97">
        <f t="shared" si="89"/>
        <v>0</v>
      </c>
    </row>
    <row r="1290" spans="1:135" x14ac:dyDescent="0.3">
      <c r="F1290" s="128">
        <f t="shared" ref="F1290:Z1290" si="90">F1191</f>
        <v>45887</v>
      </c>
      <c r="G1290" s="128">
        <f t="shared" si="90"/>
        <v>45888</v>
      </c>
      <c r="H1290" s="128">
        <f t="shared" si="90"/>
        <v>45889</v>
      </c>
      <c r="I1290" s="128">
        <f t="shared" si="90"/>
        <v>45890</v>
      </c>
      <c r="J1290" s="128">
        <f t="shared" si="90"/>
        <v>45891</v>
      </c>
      <c r="K1290" s="128">
        <f t="shared" si="90"/>
        <v>45894</v>
      </c>
      <c r="L1290" s="128">
        <f t="shared" si="90"/>
        <v>45895</v>
      </c>
      <c r="M1290" s="128">
        <f t="shared" si="90"/>
        <v>45896</v>
      </c>
      <c r="N1290" s="128">
        <f t="shared" si="90"/>
        <v>45897</v>
      </c>
      <c r="O1290" s="128">
        <f t="shared" si="90"/>
        <v>45898</v>
      </c>
      <c r="P1290" s="128">
        <f t="shared" si="90"/>
        <v>45901</v>
      </c>
      <c r="Q1290" s="128">
        <f t="shared" si="90"/>
        <v>45902</v>
      </c>
      <c r="R1290" s="128">
        <f t="shared" si="90"/>
        <v>45903</v>
      </c>
      <c r="S1290" s="128">
        <f t="shared" si="90"/>
        <v>45904</v>
      </c>
      <c r="T1290" s="128">
        <f t="shared" si="90"/>
        <v>45905</v>
      </c>
      <c r="U1290" s="128">
        <f t="shared" si="90"/>
        <v>45908</v>
      </c>
      <c r="V1290" s="128">
        <f t="shared" si="90"/>
        <v>45909</v>
      </c>
      <c r="W1290" s="128">
        <f t="shared" si="90"/>
        <v>45910</v>
      </c>
      <c r="X1290" s="128">
        <f t="shared" si="90"/>
        <v>45911</v>
      </c>
      <c r="Y1290" s="128">
        <f t="shared" si="90"/>
        <v>45912</v>
      </c>
      <c r="Z1290" s="128">
        <f t="shared" ca="1" si="90"/>
        <v>45912</v>
      </c>
      <c r="AB1290" s="128">
        <f t="shared" ref="AB1290:AV1290" si="91">F1191</f>
        <v>45887</v>
      </c>
      <c r="AC1290" s="128">
        <f t="shared" si="91"/>
        <v>45888</v>
      </c>
      <c r="AD1290" s="128">
        <f t="shared" si="91"/>
        <v>45889</v>
      </c>
      <c r="AE1290" s="128">
        <f t="shared" si="91"/>
        <v>45890</v>
      </c>
      <c r="AF1290" s="128">
        <f t="shared" si="91"/>
        <v>45891</v>
      </c>
      <c r="AG1290" s="128">
        <f t="shared" si="91"/>
        <v>45894</v>
      </c>
      <c r="AH1290" s="128">
        <f t="shared" si="91"/>
        <v>45895</v>
      </c>
      <c r="AI1290" s="128">
        <f t="shared" si="91"/>
        <v>45896</v>
      </c>
      <c r="AJ1290" s="128">
        <f t="shared" si="91"/>
        <v>45897</v>
      </c>
      <c r="AK1290" s="128">
        <f t="shared" si="91"/>
        <v>45898</v>
      </c>
      <c r="AL1290" s="128">
        <f t="shared" si="91"/>
        <v>45901</v>
      </c>
      <c r="AM1290" s="128">
        <f t="shared" si="91"/>
        <v>45902</v>
      </c>
      <c r="AN1290" s="128">
        <f t="shared" si="91"/>
        <v>45903</v>
      </c>
      <c r="AO1290" s="128">
        <f t="shared" si="91"/>
        <v>45904</v>
      </c>
      <c r="AP1290" s="128">
        <f t="shared" si="91"/>
        <v>45905</v>
      </c>
      <c r="AQ1290" s="128">
        <f t="shared" si="91"/>
        <v>45908</v>
      </c>
      <c r="AR1290" s="128">
        <f t="shared" si="91"/>
        <v>45909</v>
      </c>
      <c r="AS1290" s="128">
        <f t="shared" si="91"/>
        <v>45910</v>
      </c>
      <c r="AT1290" s="128">
        <f t="shared" si="91"/>
        <v>45911</v>
      </c>
      <c r="AU1290" s="128">
        <f t="shared" si="91"/>
        <v>45912</v>
      </c>
      <c r="AV1290" s="128">
        <f t="shared" ca="1" si="91"/>
        <v>45912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6">
        <v>11100</v>
      </c>
      <c r="G1292" s="1196">
        <v>11100</v>
      </c>
      <c r="H1292" s="1196">
        <v>11100</v>
      </c>
      <c r="I1292" s="1196">
        <v>11100</v>
      </c>
      <c r="J1292" s="1196">
        <v>11100</v>
      </c>
      <c r="K1292" s="1196">
        <v>11100</v>
      </c>
      <c r="L1292" s="1196">
        <v>11100</v>
      </c>
      <c r="M1292" s="1196">
        <v>11100</v>
      </c>
      <c r="N1292" s="1196">
        <v>11100</v>
      </c>
      <c r="O1292" s="1196">
        <v>11100</v>
      </c>
      <c r="P1292" s="1196">
        <v>11100</v>
      </c>
      <c r="Q1292" s="1196">
        <v>11100</v>
      </c>
      <c r="R1292" s="1196">
        <v>11100</v>
      </c>
      <c r="S1292" s="1196">
        <v>11100</v>
      </c>
      <c r="T1292" s="1196">
        <v>11100</v>
      </c>
      <c r="U1292" s="1196">
        <v>11100</v>
      </c>
      <c r="V1292" s="1196">
        <v>11100</v>
      </c>
      <c r="W1292" s="1196">
        <v>11100</v>
      </c>
      <c r="X1292" s="1196">
        <v>10800</v>
      </c>
      <c r="Y1292" s="1196">
        <v>10800</v>
      </c>
      <c r="Z1292" s="1196">
        <f ca="1">Calc!G3</f>
        <v>10800</v>
      </c>
      <c r="AB1292" s="341">
        <v>3581.9999999999991</v>
      </c>
      <c r="AC1292" s="341">
        <v>3863.9999999999986</v>
      </c>
      <c r="AD1292" s="341">
        <v>3933.0000000000041</v>
      </c>
      <c r="AE1292" s="341">
        <v>4200</v>
      </c>
      <c r="AF1292" s="341">
        <v>4200</v>
      </c>
      <c r="AG1292" s="341">
        <v>5433.0000000000036</v>
      </c>
      <c r="AH1292" s="341">
        <v>5088.0000000000027</v>
      </c>
      <c r="AI1292" s="341">
        <v>4443.0000000000009</v>
      </c>
      <c r="AJ1292" s="341">
        <v>4088.9999999999986</v>
      </c>
      <c r="AK1292" s="341">
        <v>3816.0300000000007</v>
      </c>
      <c r="AL1292" s="341">
        <v>3594.0000000000055</v>
      </c>
      <c r="AM1292" s="341">
        <v>4962.0599999999995</v>
      </c>
      <c r="AN1292" s="341">
        <v>2377.3799999999992</v>
      </c>
      <c r="AO1292" s="341">
        <v>1695.0000000000018</v>
      </c>
      <c r="AP1292" s="341">
        <v>1302.0000000000009</v>
      </c>
      <c r="AQ1292" s="341">
        <v>1872.0000000000027</v>
      </c>
      <c r="AR1292" s="341">
        <v>2931.0000000000032</v>
      </c>
      <c r="AS1292" s="341">
        <v>5199.0000000000036</v>
      </c>
      <c r="AT1292" s="341">
        <v>-16.500000000002046</v>
      </c>
      <c r="AU1292" s="341">
        <v>-1115.9999999999995</v>
      </c>
      <c r="AV1292" s="341">
        <f ca="1">Calc!AE3</f>
        <v>-1115.9999999999995</v>
      </c>
      <c r="AX1292" s="97" t="str">
        <f t="shared" ca="1" si="89"/>
        <v>AAPL</v>
      </c>
      <c r="DN1292">
        <f>-Tab2ReBuy[[#This Row],[RevBuy3]]</f>
        <v>-4200</v>
      </c>
      <c r="DO1292">
        <f>-Tab2ReBuy[[#This Row],[RevBuy3]]</f>
        <v>-4200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-5433.0000000000036</v>
      </c>
      <c r="DS1292">
        <f>-Tab2ReBuy[[#This Row],[RevBuy5]]</f>
        <v>-5433.0000000000036</v>
      </c>
      <c r="DT1292">
        <f>-Tab2ReBuy[[#This Row],[RevBuy6]]</f>
        <v>-5088.0000000000027</v>
      </c>
      <c r="DU1292">
        <f>-Tab2ReBuy[[#This Row],[RevBuy6]]</f>
        <v>-5088.0000000000027</v>
      </c>
      <c r="DV1292">
        <f>-Tab2ReBuy[[#This Row],[RevBuy7]]</f>
        <v>-4443.0000000000009</v>
      </c>
      <c r="DW1292">
        <f>-Tab2ReBuy[[#This Row],[RevBuy7]]</f>
        <v>-4443.0000000000009</v>
      </c>
      <c r="DX1292">
        <f>-Tab2ReBuy[[#This Row],[RevBuy8]]</f>
        <v>-4088.9999999999986</v>
      </c>
      <c r="DY1292">
        <f>-Tab2ReBuy[[#This Row],[RevBuy8]]</f>
        <v>-4088.9999999999986</v>
      </c>
      <c r="DZ1292">
        <f>-Tab2ReBuy[[#This Row],[RevBuy9]]</f>
        <v>-3816.0300000000007</v>
      </c>
      <c r="EA1292">
        <f>-Tab2ReBuy[[#This Row],[RevBuy9]]</f>
        <v>-3816.0300000000007</v>
      </c>
      <c r="EB1292">
        <f>-Tab2ReBuy[[#This Row],[RevBuy10]]</f>
        <v>-3594.0000000000055</v>
      </c>
      <c r="EC1292">
        <f>-Tab2ReBuy[[#This Row],[RevBuy10]]</f>
        <v>-3594.0000000000055</v>
      </c>
      <c r="ED1292">
        <f>-Tab2ReBuy[[#This Row],[RevBuy11]]</f>
        <v>-4962.0599999999995</v>
      </c>
      <c r="EE1292">
        <f>-Tab2ReBuy[[#This Row],[RevBuy11]]</f>
        <v>-4962.0599999999995</v>
      </c>
    </row>
    <row r="1293" spans="1:135" ht="23" customHeight="1" x14ac:dyDescent="0.3">
      <c r="A1293" s="97" t="str">
        <f t="shared" ref="A1293:A1356" ca="1" si="92">A1194</f>
        <v>ADEA</v>
      </c>
      <c r="F1293" s="1196">
        <v>6000</v>
      </c>
      <c r="G1293" s="1196">
        <v>6000</v>
      </c>
      <c r="H1293" s="1196">
        <v>6000</v>
      </c>
      <c r="I1293" s="1196">
        <v>6000</v>
      </c>
      <c r="J1293" s="1196">
        <v>6000</v>
      </c>
      <c r="K1293" s="1196">
        <v>6000</v>
      </c>
      <c r="L1293" s="1196">
        <v>6000</v>
      </c>
      <c r="M1293" s="1196">
        <v>6000</v>
      </c>
      <c r="N1293" s="1196">
        <v>6000</v>
      </c>
      <c r="O1293" s="1196">
        <v>6000</v>
      </c>
      <c r="P1293" s="1196">
        <v>6000</v>
      </c>
      <c r="Q1293" s="1196">
        <v>6000</v>
      </c>
      <c r="R1293" s="1196">
        <v>6000</v>
      </c>
      <c r="S1293" s="1196">
        <v>6000</v>
      </c>
      <c r="T1293" s="1196">
        <v>6000</v>
      </c>
      <c r="U1293" s="1196">
        <v>6000</v>
      </c>
      <c r="V1293" s="1196">
        <v>6000</v>
      </c>
      <c r="W1293" s="1196">
        <v>6000</v>
      </c>
      <c r="X1293" s="1196">
        <v>6000</v>
      </c>
      <c r="Y1293" s="1196">
        <v>6000</v>
      </c>
      <c r="Z1293" s="1196">
        <f ca="1">Calc!G4</f>
        <v>6000</v>
      </c>
      <c r="AB1293" s="341">
        <v>5606.2500000000055</v>
      </c>
      <c r="AC1293" s="341">
        <v>5322.2000000000035</v>
      </c>
      <c r="AD1293" s="341">
        <v>5023.2000000000044</v>
      </c>
      <c r="AE1293" s="341">
        <v>5651.1000000000067</v>
      </c>
      <c r="AF1293" s="341">
        <v>5651.1000000000067</v>
      </c>
      <c r="AG1293" s="341">
        <v>6428.5000000000064</v>
      </c>
      <c r="AH1293" s="341">
        <v>3259.1000000000049</v>
      </c>
      <c r="AI1293" s="341">
        <v>3916.9000000000069</v>
      </c>
      <c r="AJ1293" s="341">
        <v>3318.9000000000037</v>
      </c>
      <c r="AK1293" s="341">
        <v>3647.800000000007</v>
      </c>
      <c r="AL1293" s="341">
        <v>4873.700000000008</v>
      </c>
      <c r="AM1293" s="341">
        <v>5501.6000000000049</v>
      </c>
      <c r="AN1293" s="341">
        <v>5142.8000000000075</v>
      </c>
      <c r="AO1293" s="341">
        <v>4215.900000000006</v>
      </c>
      <c r="AP1293" s="341">
        <v>3767.4000000000046</v>
      </c>
      <c r="AQ1293" s="341">
        <v>3887.0000000000073</v>
      </c>
      <c r="AR1293" s="341">
        <v>3946.8000000000061</v>
      </c>
      <c r="AS1293" s="341">
        <v>4664.4000000000069</v>
      </c>
      <c r="AT1293" s="341">
        <v>3049.8000000000038</v>
      </c>
      <c r="AU1293" s="341">
        <v>3049.8000000000038</v>
      </c>
      <c r="AV1293" s="341">
        <f ca="1">Calc!AE4</f>
        <v>3049.8000000000038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6">
        <v>780000</v>
      </c>
      <c r="G1294" s="1196">
        <v>780000</v>
      </c>
      <c r="H1294" s="1196">
        <v>780000</v>
      </c>
      <c r="I1294" s="1196">
        <v>780000</v>
      </c>
      <c r="J1294" s="1196">
        <v>780000</v>
      </c>
      <c r="K1294" s="1196">
        <v>780000</v>
      </c>
      <c r="L1294" s="1196">
        <v>780000</v>
      </c>
      <c r="M1294" s="1196">
        <v>780000</v>
      </c>
      <c r="N1294" s="1196">
        <v>780000</v>
      </c>
      <c r="O1294" s="1196">
        <v>780000</v>
      </c>
      <c r="P1294" s="1196">
        <v>780000</v>
      </c>
      <c r="Q1294" s="1196">
        <v>780000</v>
      </c>
      <c r="R1294" s="1196">
        <v>780000</v>
      </c>
      <c r="S1294" s="1196">
        <v>780000</v>
      </c>
      <c r="T1294" s="1196">
        <v>780000</v>
      </c>
      <c r="U1294" s="1196">
        <v>780000</v>
      </c>
      <c r="V1294" s="1196">
        <v>780000</v>
      </c>
      <c r="W1294" s="1196">
        <v>780000</v>
      </c>
      <c r="X1294" s="1196">
        <v>780000</v>
      </c>
      <c r="Y1294" s="1196">
        <v>780000</v>
      </c>
      <c r="Z1294" s="1196">
        <f ca="1">Calc!G5</f>
        <v>780000</v>
      </c>
      <c r="AB1294" s="341">
        <v>1042.0000000000002</v>
      </c>
      <c r="AC1294" s="341">
        <v>1207.9999999999998</v>
      </c>
      <c r="AD1294" s="341">
        <v>1161.9999999999991</v>
      </c>
      <c r="AE1294" s="341">
        <v>1101.9999999999995</v>
      </c>
      <c r="AF1294" s="341">
        <v>1101.9999999999995</v>
      </c>
      <c r="AG1294" s="341">
        <v>1242.0000000000002</v>
      </c>
      <c r="AH1294" s="341">
        <v>661.99999999999898</v>
      </c>
      <c r="AI1294" s="341">
        <v>601.99999999999966</v>
      </c>
      <c r="AJ1294" s="341">
        <v>721.99999999999989</v>
      </c>
      <c r="AK1294" s="341">
        <v>707.47999999999956</v>
      </c>
      <c r="AL1294" s="341">
        <v>181.11999999999998</v>
      </c>
      <c r="AM1294" s="341">
        <v>1.9999999999996021</v>
      </c>
      <c r="AN1294" s="341">
        <v>121.99999999999989</v>
      </c>
      <c r="AO1294" s="341">
        <v>281.99999999999932</v>
      </c>
      <c r="AP1294" s="341">
        <v>-398.0000000000004</v>
      </c>
      <c r="AQ1294" s="341">
        <v>-598.00000000000034</v>
      </c>
      <c r="AR1294" s="341">
        <v>-518.00000000000068</v>
      </c>
      <c r="AS1294" s="341">
        <v>81.999999999999304</v>
      </c>
      <c r="AT1294" s="341">
        <v>161.99999999999903</v>
      </c>
      <c r="AU1294" s="341">
        <v>121.99999999999989</v>
      </c>
      <c r="AV1294" s="341">
        <f ca="1">Calc!AE5</f>
        <v>121.99999999999989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6">
        <v>12200</v>
      </c>
      <c r="G1295" s="1196">
        <v>12200</v>
      </c>
      <c r="H1295" s="1196">
        <v>12200</v>
      </c>
      <c r="I1295" s="1196">
        <v>12200</v>
      </c>
      <c r="J1295" s="1196">
        <v>12200</v>
      </c>
      <c r="K1295" s="1196">
        <v>12200</v>
      </c>
      <c r="L1295" s="1196">
        <v>12200</v>
      </c>
      <c r="M1295" s="1196">
        <v>12200</v>
      </c>
      <c r="N1295" s="1196">
        <v>12200</v>
      </c>
      <c r="O1295" s="1196">
        <v>12200</v>
      </c>
      <c r="P1295" s="1196">
        <v>12200</v>
      </c>
      <c r="Q1295" s="1196">
        <v>12200</v>
      </c>
      <c r="R1295" s="1196">
        <v>12200</v>
      </c>
      <c r="S1295" s="1196">
        <v>12200</v>
      </c>
      <c r="T1295" s="1196">
        <v>12200</v>
      </c>
      <c r="U1295" s="1196">
        <v>12200</v>
      </c>
      <c r="V1295" s="1196">
        <v>12200</v>
      </c>
      <c r="W1295" s="1196">
        <v>12200</v>
      </c>
      <c r="X1295" s="1196">
        <v>12200</v>
      </c>
      <c r="Y1295" s="1196">
        <v>12200</v>
      </c>
      <c r="Z1295" s="1196">
        <f ca="1">Calc!G6</f>
        <v>12200</v>
      </c>
      <c r="AB1295" s="341">
        <v>1643.3999999999996</v>
      </c>
      <c r="AC1295" s="341">
        <v>1329.9999999999982</v>
      </c>
      <c r="AD1295" s="341">
        <v>2020.0000000000102</v>
      </c>
      <c r="AE1295" s="341">
        <v>3370.0000000000045</v>
      </c>
      <c r="AF1295" s="341">
        <v>3370.0000000000045</v>
      </c>
      <c r="AG1295" s="341">
        <v>5215.0000000000036</v>
      </c>
      <c r="AH1295" s="341">
        <v>3150.0000000000055</v>
      </c>
      <c r="AI1295" s="341">
        <v>2765.0000000000005</v>
      </c>
      <c r="AJ1295" s="341">
        <v>2560.0000000000023</v>
      </c>
      <c r="AK1295" s="341">
        <v>846.45000000000437</v>
      </c>
      <c r="AL1295" s="341">
        <v>2620.0000000000045</v>
      </c>
      <c r="AM1295" s="341">
        <v>5933.5500000000111</v>
      </c>
      <c r="AN1295" s="341">
        <v>4130.00000000001</v>
      </c>
      <c r="AO1295" s="341">
        <v>4125</v>
      </c>
      <c r="AP1295" s="341">
        <v>-719.99999999999886</v>
      </c>
      <c r="AQ1295" s="341">
        <v>-799.99999999999716</v>
      </c>
      <c r="AR1295" s="341">
        <v>-2000</v>
      </c>
      <c r="AS1295" s="341">
        <v>1954.9999999999982</v>
      </c>
      <c r="AT1295" s="341">
        <v>2047.4999999999995</v>
      </c>
      <c r="AU1295" s="341">
        <v>3045.0000000000018</v>
      </c>
      <c r="AV1295" s="341">
        <f ca="1">Calc!AE6</f>
        <v>3045.0000000000018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6">
        <v>2530000</v>
      </c>
      <c r="G1296" s="1196">
        <v>2530000</v>
      </c>
      <c r="H1296" s="1196">
        <v>2530000</v>
      </c>
      <c r="I1296" s="1196">
        <v>2530000</v>
      </c>
      <c r="J1296" s="1196">
        <v>2530000</v>
      </c>
      <c r="K1296" s="1196">
        <v>2530000</v>
      </c>
      <c r="L1296" s="1196">
        <v>2530000</v>
      </c>
      <c r="M1296" s="1196">
        <v>2530000</v>
      </c>
      <c r="N1296" s="1196">
        <v>2530000</v>
      </c>
      <c r="O1296" s="1196">
        <v>2530000</v>
      </c>
      <c r="P1296" s="1196">
        <v>2530000</v>
      </c>
      <c r="Q1296" s="1196">
        <v>2530000</v>
      </c>
      <c r="R1296" s="1196">
        <v>2530000</v>
      </c>
      <c r="S1296" s="1196">
        <v>2530000</v>
      </c>
      <c r="T1296" s="1196">
        <v>2530000</v>
      </c>
      <c r="U1296" s="1196">
        <v>2530000</v>
      </c>
      <c r="V1296" s="1196">
        <v>2530000</v>
      </c>
      <c r="W1296" s="1196">
        <v>2530000</v>
      </c>
      <c r="X1296" s="1196">
        <v>2530000</v>
      </c>
      <c r="Y1296" s="1196">
        <v>2530000</v>
      </c>
      <c r="Z1296" s="1196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6">
        <v>5300</v>
      </c>
      <c r="G1297" s="1196">
        <v>5300</v>
      </c>
      <c r="H1297" s="1196">
        <v>5300</v>
      </c>
      <c r="I1297" s="1196">
        <v>5300</v>
      </c>
      <c r="J1297" s="1196">
        <v>5300</v>
      </c>
      <c r="K1297" s="1196">
        <v>5300</v>
      </c>
      <c r="L1297" s="1196">
        <v>5300</v>
      </c>
      <c r="M1297" s="1196">
        <v>5300</v>
      </c>
      <c r="N1297" s="1196">
        <v>5300</v>
      </c>
      <c r="O1297" s="1196">
        <v>5300</v>
      </c>
      <c r="P1297" s="1196">
        <v>5300</v>
      </c>
      <c r="Q1297" s="1196">
        <v>5300</v>
      </c>
      <c r="R1297" s="1196">
        <v>5300</v>
      </c>
      <c r="S1297" s="1196">
        <v>5300</v>
      </c>
      <c r="T1297" s="1196">
        <v>5300</v>
      </c>
      <c r="U1297" s="1196">
        <v>5300</v>
      </c>
      <c r="V1297" s="1196">
        <v>5300</v>
      </c>
      <c r="W1297" s="1196">
        <v>5300</v>
      </c>
      <c r="X1297" s="1196">
        <v>5300</v>
      </c>
      <c r="Y1297" s="1196">
        <v>5300</v>
      </c>
      <c r="Z1297" s="1196">
        <f ca="1">Calc!G8</f>
        <v>5300</v>
      </c>
      <c r="AB1297" s="341">
        <v>7410.0000000000136</v>
      </c>
      <c r="AC1297" s="341">
        <v>9210.0000000000146</v>
      </c>
      <c r="AD1297" s="341">
        <v>9600</v>
      </c>
      <c r="AE1297" s="341">
        <v>7590.00000000002</v>
      </c>
      <c r="AF1297" s="341">
        <v>7590.00000000002</v>
      </c>
      <c r="AG1297" s="341">
        <v>8819.9999999999927</v>
      </c>
      <c r="AH1297" s="341">
        <v>-250</v>
      </c>
      <c r="AI1297" s="341">
        <v>-2199.9999999999886</v>
      </c>
      <c r="AJ1297" s="341">
        <v>-7000</v>
      </c>
      <c r="AK1297" s="341">
        <v>-4149.9999999999773</v>
      </c>
      <c r="AL1297" s="341">
        <v>5200.0000000000455</v>
      </c>
      <c r="AM1297" s="341">
        <v>14600.000000000022</v>
      </c>
      <c r="AN1297" s="341">
        <v>8050.0000000000109</v>
      </c>
      <c r="AO1297" s="341">
        <v>6400.0000000000346</v>
      </c>
      <c r="AP1297" s="341">
        <v>-8149.9999999999773</v>
      </c>
      <c r="AQ1297" s="341">
        <v>-1879.9999999999955</v>
      </c>
      <c r="AR1297" s="341">
        <v>-3200</v>
      </c>
      <c r="AS1297" s="341">
        <v>-2600</v>
      </c>
      <c r="AT1297" s="341">
        <v>-3759.9999999999909</v>
      </c>
      <c r="AU1297" s="341">
        <v>-4519.9999999999818</v>
      </c>
      <c r="AV1297" s="341">
        <f ca="1">Calc!AE8</f>
        <v>-4519.9999999999818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6">
        <v>1000</v>
      </c>
      <c r="G1298" s="1196">
        <v>1000</v>
      </c>
      <c r="H1298" s="1196">
        <v>1000</v>
      </c>
      <c r="I1298" s="1196">
        <v>1000</v>
      </c>
      <c r="J1298" s="1196">
        <v>1000</v>
      </c>
      <c r="K1298" s="1196">
        <v>1000</v>
      </c>
      <c r="L1298" s="1196">
        <v>1000</v>
      </c>
      <c r="M1298" s="1196">
        <v>1000</v>
      </c>
      <c r="N1298" s="1196">
        <v>1000</v>
      </c>
      <c r="O1298" s="1196">
        <v>1000</v>
      </c>
      <c r="P1298" s="1196">
        <v>1000</v>
      </c>
      <c r="Q1298" s="1196">
        <v>1000</v>
      </c>
      <c r="R1298" s="1196">
        <v>1000</v>
      </c>
      <c r="S1298" s="1196">
        <v>1000</v>
      </c>
      <c r="T1298" s="1196">
        <v>1000</v>
      </c>
      <c r="U1298" s="1196">
        <v>1000</v>
      </c>
      <c r="V1298" s="1196">
        <v>1000</v>
      </c>
      <c r="W1298" s="1196">
        <v>1000</v>
      </c>
      <c r="X1298" s="1196">
        <v>1000</v>
      </c>
      <c r="Y1298" s="1196">
        <v>1000</v>
      </c>
      <c r="Z1298" s="1196">
        <f ca="1">Calc!G9</f>
        <v>1000</v>
      </c>
      <c r="AB1298" s="341">
        <v>-11359.999999999985</v>
      </c>
      <c r="AC1298" s="341">
        <v>-12250</v>
      </c>
      <c r="AD1298" s="341">
        <v>-13892.599999999988</v>
      </c>
      <c r="AE1298" s="341">
        <v>-119.99999999997613</v>
      </c>
      <c r="AF1298" s="341">
        <v>-119.99999999997613</v>
      </c>
      <c r="AG1298" s="341">
        <v>-2019.9999999999818</v>
      </c>
      <c r="AH1298" s="341">
        <v>-299.99999999998295</v>
      </c>
      <c r="AI1298" s="341">
        <v>-1079.9999999999841</v>
      </c>
      <c r="AJ1298" s="341">
        <v>-840.00000000000341</v>
      </c>
      <c r="AK1298" s="341">
        <v>-299.99999999998295</v>
      </c>
      <c r="AL1298" s="341">
        <v>-780.00000000000114</v>
      </c>
      <c r="AM1298" s="341">
        <v>-60.000000000002274</v>
      </c>
      <c r="AN1298" s="341">
        <v>-4219.9999999999991</v>
      </c>
      <c r="AO1298" s="341">
        <v>-5199.9999999999891</v>
      </c>
      <c r="AP1298" s="341">
        <v>-4539.9999999999918</v>
      </c>
      <c r="AQ1298" s="341">
        <v>-4099.9999999999945</v>
      </c>
      <c r="AR1298" s="341">
        <v>-3419.9999999999873</v>
      </c>
      <c r="AS1298" s="341">
        <v>-2599.9999999999945</v>
      </c>
      <c r="AT1298" s="341">
        <v>-3310.0000000000023</v>
      </c>
      <c r="AU1298" s="341">
        <v>-99.999999999994316</v>
      </c>
      <c r="AV1298" s="341">
        <f ca="1">Calc!AE9</f>
        <v>-99.999999999994316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6">
        <v>26000</v>
      </c>
      <c r="G1299" s="1196">
        <v>26000</v>
      </c>
      <c r="H1299" s="1196">
        <v>26000</v>
      </c>
      <c r="I1299" s="1196">
        <v>26000</v>
      </c>
      <c r="J1299" s="1196">
        <v>26000</v>
      </c>
      <c r="K1299" s="1196">
        <v>26000</v>
      </c>
      <c r="L1299" s="1196">
        <v>26000</v>
      </c>
      <c r="M1299" s="1196">
        <v>26000</v>
      </c>
      <c r="N1299" s="1196">
        <v>26000</v>
      </c>
      <c r="O1299" s="1196">
        <v>26000</v>
      </c>
      <c r="P1299" s="1196">
        <v>26000</v>
      </c>
      <c r="Q1299" s="1196">
        <v>26000</v>
      </c>
      <c r="R1299" s="1196">
        <v>26000</v>
      </c>
      <c r="S1299" s="1196">
        <v>26000</v>
      </c>
      <c r="T1299" s="1196">
        <v>26000</v>
      </c>
      <c r="U1299" s="1196">
        <v>26000</v>
      </c>
      <c r="V1299" s="1196">
        <v>26000</v>
      </c>
      <c r="W1299" s="1196">
        <v>26000</v>
      </c>
      <c r="X1299" s="1196">
        <v>26000</v>
      </c>
      <c r="Y1299" s="1196">
        <v>26000</v>
      </c>
      <c r="Z1299" s="1196">
        <f ca="1">Calc!G10</f>
        <v>26000</v>
      </c>
      <c r="AB1299" s="341">
        <v>1750.0000000000005</v>
      </c>
      <c r="AC1299" s="341">
        <v>806.99999999999989</v>
      </c>
      <c r="AD1299" s="341">
        <v>-100.00000000000009</v>
      </c>
      <c r="AE1299" s="341">
        <v>149.99999999999903</v>
      </c>
      <c r="AF1299" s="341">
        <v>149.99999999999903</v>
      </c>
      <c r="AG1299" s="341">
        <v>600.00000000000057</v>
      </c>
      <c r="AH1299" s="341">
        <v>-499.99999999999824</v>
      </c>
      <c r="AI1299" s="341">
        <v>-1000.0000000000009</v>
      </c>
      <c r="AJ1299" s="341">
        <v>-600.00000000000057</v>
      </c>
      <c r="AK1299" s="341">
        <v>-887.00000000000227</v>
      </c>
      <c r="AL1299" s="341">
        <v>-600.00000000000057</v>
      </c>
      <c r="AM1299" s="341">
        <v>800.00000000000068</v>
      </c>
      <c r="AN1299" s="341">
        <v>601.00000000000045</v>
      </c>
      <c r="AO1299" s="341">
        <v>700.00000000000057</v>
      </c>
      <c r="AP1299" s="341">
        <v>1099.9999999999989</v>
      </c>
      <c r="AQ1299" s="341">
        <v>200.00000000000017</v>
      </c>
      <c r="AR1299" s="341">
        <v>700.00000000000057</v>
      </c>
      <c r="AS1299" s="341">
        <v>300.00000000000028</v>
      </c>
      <c r="AT1299" s="341">
        <v>-750.00000000000182</v>
      </c>
      <c r="AU1299" s="341">
        <v>-1099.9999999999989</v>
      </c>
      <c r="AV1299" s="341">
        <f ca="1">Calc!AE10</f>
        <v>-1099.9999999999989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6">
        <v>12500</v>
      </c>
      <c r="G1300" s="1196">
        <v>12500</v>
      </c>
      <c r="H1300" s="1196">
        <v>12500</v>
      </c>
      <c r="I1300" s="1196">
        <v>12500</v>
      </c>
      <c r="J1300" s="1196">
        <v>12500</v>
      </c>
      <c r="K1300" s="1196">
        <v>12500</v>
      </c>
      <c r="L1300" s="1196">
        <v>12500</v>
      </c>
      <c r="M1300" s="1196">
        <v>12500</v>
      </c>
      <c r="N1300" s="1196">
        <v>12500</v>
      </c>
      <c r="O1300" s="1196">
        <v>12500</v>
      </c>
      <c r="P1300" s="1196">
        <v>12500</v>
      </c>
      <c r="Q1300" s="1196">
        <v>12500</v>
      </c>
      <c r="R1300" s="1196">
        <v>12500</v>
      </c>
      <c r="S1300" s="1196">
        <v>12500</v>
      </c>
      <c r="T1300" s="1196">
        <v>12500</v>
      </c>
      <c r="U1300" s="1196">
        <v>12500</v>
      </c>
      <c r="V1300" s="1196">
        <v>12500</v>
      </c>
      <c r="W1300" s="1196">
        <v>12500</v>
      </c>
      <c r="X1300" s="1196">
        <v>12500</v>
      </c>
      <c r="Y1300" s="1196">
        <v>12500</v>
      </c>
      <c r="Z1300" s="1196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6">
        <v>100</v>
      </c>
      <c r="G1301" s="1196">
        <v>100</v>
      </c>
      <c r="H1301" s="1196">
        <v>100</v>
      </c>
      <c r="I1301" s="1196">
        <v>100</v>
      </c>
      <c r="J1301" s="1196">
        <v>100</v>
      </c>
      <c r="K1301" s="1196">
        <v>100</v>
      </c>
      <c r="L1301" s="1196">
        <v>100</v>
      </c>
      <c r="M1301" s="1196">
        <v>100</v>
      </c>
      <c r="N1301" s="1196">
        <v>100</v>
      </c>
      <c r="O1301" s="1196">
        <v>100</v>
      </c>
      <c r="P1301" s="1196">
        <v>100</v>
      </c>
      <c r="Q1301" s="1196">
        <v>100</v>
      </c>
      <c r="R1301" s="1196">
        <v>100</v>
      </c>
      <c r="S1301" s="1196">
        <v>100</v>
      </c>
      <c r="T1301" s="1196">
        <v>100</v>
      </c>
      <c r="U1301" s="1196">
        <v>100</v>
      </c>
      <c r="V1301" s="1196">
        <v>100</v>
      </c>
      <c r="W1301" s="1196">
        <v>5</v>
      </c>
      <c r="X1301" s="1196">
        <v>5</v>
      </c>
      <c r="Y1301" s="1196">
        <v>5</v>
      </c>
      <c r="Z1301" s="1196">
        <f ca="1">Calc!G12</f>
        <v>5</v>
      </c>
      <c r="AB1301" s="341">
        <v>-5887.4999999999955</v>
      </c>
      <c r="AC1301" s="341">
        <v>-5750</v>
      </c>
      <c r="AD1301" s="341">
        <v>-5619.9999999999973</v>
      </c>
      <c r="AE1301" s="341">
        <v>-5412.5000000000018</v>
      </c>
      <c r="AF1301" s="341">
        <v>-5412.5000000000018</v>
      </c>
      <c r="AG1301" s="341">
        <v>-5232.5000000000018</v>
      </c>
      <c r="AH1301" s="341">
        <v>-6144.9999999999964</v>
      </c>
      <c r="AI1301" s="341">
        <v>-6530.0000000000009</v>
      </c>
      <c r="AJ1301" s="341">
        <v>-7115.0000000000018</v>
      </c>
      <c r="AK1301" s="341">
        <v>-7159.9999999999964</v>
      </c>
      <c r="AL1301" s="341">
        <v>-6949.9999999999955</v>
      </c>
      <c r="AM1301" s="341">
        <v>-5492.5</v>
      </c>
      <c r="AN1301" s="341">
        <v>-6024.9999999999982</v>
      </c>
      <c r="AO1301" s="341">
        <v>-6180</v>
      </c>
      <c r="AP1301" s="341">
        <v>-7204.9999999999982</v>
      </c>
      <c r="AQ1301" s="341">
        <v>-6619.9999999999973</v>
      </c>
      <c r="AR1301" s="341">
        <v>-7324.9999999999955</v>
      </c>
      <c r="AS1301" s="341">
        <v>18.049999999999784</v>
      </c>
      <c r="AT1301" s="341">
        <v>-133.00000000000054</v>
      </c>
      <c r="AU1301" s="341">
        <v>-199.97500000000036</v>
      </c>
      <c r="AV1301" s="341">
        <f ca="1">Calc!AE12</f>
        <v>-199.97500000000036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6">
        <v>1000</v>
      </c>
      <c r="G1302" s="1196">
        <v>1000</v>
      </c>
      <c r="H1302" s="1196">
        <v>1000</v>
      </c>
      <c r="I1302" s="1196">
        <v>1000</v>
      </c>
      <c r="J1302" s="1196">
        <v>1000</v>
      </c>
      <c r="K1302" s="1196">
        <v>1000</v>
      </c>
      <c r="L1302" s="1196">
        <v>1000</v>
      </c>
      <c r="M1302" s="1196">
        <v>1000</v>
      </c>
      <c r="N1302" s="1196">
        <v>1000</v>
      </c>
      <c r="O1302" s="1196">
        <v>1000</v>
      </c>
      <c r="P1302" s="1196">
        <v>1000</v>
      </c>
      <c r="Q1302" s="1196">
        <v>1000</v>
      </c>
      <c r="R1302" s="1196">
        <v>1000</v>
      </c>
      <c r="S1302" s="1196">
        <v>1000</v>
      </c>
      <c r="T1302" s="1196">
        <v>1000</v>
      </c>
      <c r="U1302" s="1196">
        <v>1000</v>
      </c>
      <c r="V1302" s="1196">
        <v>1000</v>
      </c>
      <c r="W1302" s="1196">
        <v>1000</v>
      </c>
      <c r="X1302" s="1196">
        <v>1000</v>
      </c>
      <c r="Y1302" s="1196">
        <v>1000</v>
      </c>
      <c r="Z1302" s="1196">
        <f ca="1">Calc!G13</f>
        <v>1000</v>
      </c>
      <c r="AB1302" s="341">
        <v>-1125</v>
      </c>
      <c r="AC1302" s="341">
        <v>1268.9999999999914</v>
      </c>
      <c r="AD1302" s="341">
        <v>1859.9999999999995</v>
      </c>
      <c r="AE1302" s="341">
        <v>1442.1999999999998</v>
      </c>
      <c r="AF1302" s="341">
        <v>1442.1999999999998</v>
      </c>
      <c r="AG1302" s="341">
        <v>1209.9999999999936</v>
      </c>
      <c r="AH1302" s="341">
        <v>1179.9999999999927</v>
      </c>
      <c r="AI1302" s="341">
        <v>-70.00000000000739</v>
      </c>
      <c r="AJ1302" s="341">
        <v>-120.00000000000455</v>
      </c>
      <c r="AK1302" s="341">
        <v>-455.00000000001251</v>
      </c>
      <c r="AL1302" s="341">
        <v>-770.00000000001023</v>
      </c>
      <c r="AM1302" s="341">
        <v>469.99999999999886</v>
      </c>
      <c r="AN1302" s="341">
        <v>724.99999999999432</v>
      </c>
      <c r="AO1302" s="341">
        <v>649.99999999999147</v>
      </c>
      <c r="AP1302" s="341">
        <v>329.99999999999829</v>
      </c>
      <c r="AQ1302" s="341">
        <v>1439.9999999999977</v>
      </c>
      <c r="AR1302" s="341">
        <v>979.99999999998977</v>
      </c>
      <c r="AS1302" s="341">
        <v>188.99999999999295</v>
      </c>
      <c r="AT1302" s="341">
        <v>544.99999999998749</v>
      </c>
      <c r="AU1302" s="341">
        <v>1789.999999999992</v>
      </c>
      <c r="AV1302" s="341">
        <f ca="1">Calc!AE13</f>
        <v>1789.999999999992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6">
        <v>250</v>
      </c>
      <c r="G1303" s="1196">
        <v>250</v>
      </c>
      <c r="H1303" s="1196">
        <v>250</v>
      </c>
      <c r="I1303" s="1196">
        <v>250</v>
      </c>
      <c r="J1303" s="1196">
        <v>250</v>
      </c>
      <c r="K1303" s="1196">
        <v>250</v>
      </c>
      <c r="L1303" s="1196">
        <v>250</v>
      </c>
      <c r="M1303" s="1196">
        <v>250</v>
      </c>
      <c r="N1303" s="1196">
        <v>250</v>
      </c>
      <c r="O1303" s="1196">
        <v>250</v>
      </c>
      <c r="P1303" s="1196">
        <v>250</v>
      </c>
      <c r="Q1303" s="1196">
        <v>250</v>
      </c>
      <c r="R1303" s="1196">
        <v>250</v>
      </c>
      <c r="S1303" s="1196">
        <v>250</v>
      </c>
      <c r="T1303" s="1196">
        <v>250</v>
      </c>
      <c r="U1303" s="1196">
        <v>250</v>
      </c>
      <c r="V1303" s="1196">
        <v>250</v>
      </c>
      <c r="W1303" s="1196">
        <v>250</v>
      </c>
      <c r="X1303" s="1196">
        <v>250</v>
      </c>
      <c r="Y1303" s="1196">
        <v>250</v>
      </c>
      <c r="Z1303" s="1196">
        <f ca="1">Calc!G14</f>
        <v>250</v>
      </c>
      <c r="AB1303" s="341">
        <v>-2778.7499999999986</v>
      </c>
      <c r="AC1303" s="341">
        <v>-4398.7499999999964</v>
      </c>
      <c r="AD1303" s="341">
        <v>-6018.7500000000045</v>
      </c>
      <c r="AE1303" s="341">
        <v>-6056.2500000000018</v>
      </c>
      <c r="AF1303" s="341">
        <v>-6056.2500000000018</v>
      </c>
      <c r="AG1303" s="341">
        <v>-6063.7499999999955</v>
      </c>
      <c r="AH1303" s="341">
        <v>-6352.4999999999991</v>
      </c>
      <c r="AI1303" s="341">
        <v>-6611.2499999999982</v>
      </c>
      <c r="AJ1303" s="341">
        <v>-6881.2499999999982</v>
      </c>
      <c r="AK1303" s="341">
        <v>-6686.2500000000045</v>
      </c>
      <c r="AL1303" s="341">
        <v>-7811.2500000000045</v>
      </c>
      <c r="AM1303" s="341">
        <v>-8516.2500000000036</v>
      </c>
      <c r="AN1303" s="341">
        <v>-8021.2500000000055</v>
      </c>
      <c r="AO1303" s="341">
        <v>-7938.7499999999955</v>
      </c>
      <c r="AP1303" s="341">
        <v>-8216.2499999999982</v>
      </c>
      <c r="AQ1303" s="341">
        <v>-5643.7500000000045</v>
      </c>
      <c r="AR1303" s="341">
        <v>-6753.7499999999964</v>
      </c>
      <c r="AS1303" s="341">
        <v>-8433.7500000000036</v>
      </c>
      <c r="AT1303" s="341">
        <v>-8954.9999999999982</v>
      </c>
      <c r="AU1303" s="341">
        <v>-9191.2499999999964</v>
      </c>
      <c r="AV1303" s="341">
        <f ca="1">Calc!AE14</f>
        <v>-9191.2499999999964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6">
        <v>100000</v>
      </c>
      <c r="G1304" s="1196">
        <v>100000</v>
      </c>
      <c r="H1304" s="1196">
        <v>100000</v>
      </c>
      <c r="I1304" s="1196">
        <v>100000</v>
      </c>
      <c r="J1304" s="1196">
        <v>100000</v>
      </c>
      <c r="K1304" s="1196">
        <v>100000</v>
      </c>
      <c r="L1304" s="1196">
        <v>100000</v>
      </c>
      <c r="M1304" s="1196">
        <v>100000</v>
      </c>
      <c r="N1304" s="1196">
        <v>100000</v>
      </c>
      <c r="O1304" s="1196">
        <v>100000</v>
      </c>
      <c r="P1304" s="1196">
        <v>100000</v>
      </c>
      <c r="Q1304" s="1196">
        <v>100000</v>
      </c>
      <c r="R1304" s="1196">
        <v>100000</v>
      </c>
      <c r="S1304" s="1196">
        <v>100000</v>
      </c>
      <c r="T1304" s="1196">
        <v>100000</v>
      </c>
      <c r="U1304" s="1196">
        <v>100000</v>
      </c>
      <c r="V1304" s="1196">
        <v>100000</v>
      </c>
      <c r="W1304" s="1196">
        <v>100000</v>
      </c>
      <c r="X1304" s="1196">
        <v>100000</v>
      </c>
      <c r="Y1304" s="1196">
        <v>100000</v>
      </c>
      <c r="Z1304" s="1196">
        <f ca="1">Calc!G15</f>
        <v>100000</v>
      </c>
      <c r="AB1304" s="341">
        <v>38699.999999999993</v>
      </c>
      <c r="AC1304" s="341">
        <v>38248.499999999993</v>
      </c>
      <c r="AD1304" s="341">
        <v>39450</v>
      </c>
      <c r="AE1304" s="341">
        <v>39824.999999999993</v>
      </c>
      <c r="AF1304" s="341">
        <v>39824.999999999993</v>
      </c>
      <c r="AG1304" s="341">
        <v>40050</v>
      </c>
      <c r="AH1304" s="341">
        <v>36975</v>
      </c>
      <c r="AI1304" s="341">
        <v>37424.999999999993</v>
      </c>
      <c r="AJ1304" s="341">
        <v>31124.999999999996</v>
      </c>
      <c r="AK1304" s="341">
        <v>33237</v>
      </c>
      <c r="AL1304" s="341">
        <v>35100</v>
      </c>
      <c r="AM1304" s="341">
        <v>36524.999999999993</v>
      </c>
      <c r="AN1304" s="341">
        <v>37795.5</v>
      </c>
      <c r="AO1304" s="341">
        <v>38850</v>
      </c>
      <c r="AP1304" s="341">
        <v>38850</v>
      </c>
      <c r="AQ1304" s="341">
        <v>37049.999999999993</v>
      </c>
      <c r="AR1304" s="341">
        <v>38099.999999999993</v>
      </c>
      <c r="AS1304" s="341">
        <v>37799.999999999993</v>
      </c>
      <c r="AT1304" s="341">
        <v>35849.999999999993</v>
      </c>
      <c r="AU1304" s="341">
        <v>36224.999999999993</v>
      </c>
      <c r="AV1304" s="341">
        <f ca="1">Calc!AE15</f>
        <v>36224.999999999993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6">
        <v>200</v>
      </c>
      <c r="G1305" s="1196">
        <v>200</v>
      </c>
      <c r="H1305" s="1196">
        <v>200</v>
      </c>
      <c r="I1305" s="1196">
        <v>200</v>
      </c>
      <c r="J1305" s="1196">
        <v>200</v>
      </c>
      <c r="K1305" s="1196">
        <v>200</v>
      </c>
      <c r="L1305" s="1196">
        <v>200</v>
      </c>
      <c r="M1305" s="1196">
        <v>200</v>
      </c>
      <c r="N1305" s="1196">
        <v>200</v>
      </c>
      <c r="O1305" s="1196">
        <v>200</v>
      </c>
      <c r="P1305" s="1196">
        <v>200</v>
      </c>
      <c r="Q1305" s="1196">
        <v>200</v>
      </c>
      <c r="R1305" s="1196">
        <v>200</v>
      </c>
      <c r="S1305" s="1196">
        <v>200</v>
      </c>
      <c r="T1305" s="1196">
        <v>200</v>
      </c>
      <c r="U1305" s="1196">
        <v>200</v>
      </c>
      <c r="V1305" s="1196">
        <v>200</v>
      </c>
      <c r="W1305" s="1196">
        <v>1000</v>
      </c>
      <c r="X1305" s="1196">
        <v>1000</v>
      </c>
      <c r="Y1305" s="1196">
        <v>1000</v>
      </c>
      <c r="Z1305" s="1196">
        <f ca="1">Calc!G16</f>
        <v>1000</v>
      </c>
      <c r="AB1305" s="341">
        <v>2539.9999999999977</v>
      </c>
      <c r="AC1305" s="341">
        <v>2403.9999999999964</v>
      </c>
      <c r="AD1305" s="341">
        <v>2427.9999999999973</v>
      </c>
      <c r="AE1305" s="341">
        <v>2587.9999999999995</v>
      </c>
      <c r="AF1305" s="341">
        <v>2587.9999999999995</v>
      </c>
      <c r="AG1305" s="341">
        <v>1855.9999999999945</v>
      </c>
      <c r="AH1305" s="341">
        <v>1312.0000000000005</v>
      </c>
      <c r="AI1305" s="341">
        <v>1383.9999999999918</v>
      </c>
      <c r="AJ1305" s="341">
        <v>1048.0000000000018</v>
      </c>
      <c r="AK1305" s="341">
        <v>1839.9999999999977</v>
      </c>
      <c r="AL1305" s="341">
        <v>800</v>
      </c>
      <c r="AM1305" s="341">
        <v>2071.9999999999914</v>
      </c>
      <c r="AN1305" s="341">
        <v>2191.9999999999959</v>
      </c>
      <c r="AO1305" s="341">
        <v>1600</v>
      </c>
      <c r="AP1305" s="341">
        <v>455.99999999999454</v>
      </c>
      <c r="AQ1305" s="341">
        <v>431.99999999999363</v>
      </c>
      <c r="AR1305" s="341">
        <v>1615.9999999999968</v>
      </c>
      <c r="AS1305" s="341">
        <v>2848.0000000000018</v>
      </c>
      <c r="AT1305" s="341">
        <v>1787.9999999999995</v>
      </c>
      <c r="AU1305" s="341">
        <v>2727.9999999999973</v>
      </c>
      <c r="AV1305" s="341">
        <f ca="1">Calc!AE16</f>
        <v>2727.9999999999973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6">
        <v>6000</v>
      </c>
      <c r="G1306" s="1196">
        <v>6000</v>
      </c>
      <c r="H1306" s="1196">
        <v>6000</v>
      </c>
      <c r="I1306" s="1196">
        <v>6000</v>
      </c>
      <c r="J1306" s="1196">
        <v>6000</v>
      </c>
      <c r="K1306" s="1196">
        <v>6000</v>
      </c>
      <c r="L1306" s="1196">
        <v>6000</v>
      </c>
      <c r="M1306" s="1196">
        <v>6000</v>
      </c>
      <c r="N1306" s="1196">
        <v>6000</v>
      </c>
      <c r="O1306" s="1196">
        <v>6000</v>
      </c>
      <c r="P1306" s="1196">
        <v>6000</v>
      </c>
      <c r="Q1306" s="1196">
        <v>6000</v>
      </c>
      <c r="R1306" s="1196">
        <v>6000</v>
      </c>
      <c r="S1306" s="1196">
        <v>6000</v>
      </c>
      <c r="T1306" s="1196">
        <v>6000</v>
      </c>
      <c r="U1306" s="1196">
        <v>6000</v>
      </c>
      <c r="V1306" s="1196">
        <v>6000</v>
      </c>
      <c r="W1306" s="1196">
        <v>6000</v>
      </c>
      <c r="X1306" s="1196">
        <v>6000</v>
      </c>
      <c r="Y1306" s="1196">
        <v>6000</v>
      </c>
      <c r="Z1306" s="1196">
        <f ca="1">Calc!G17</f>
        <v>6000</v>
      </c>
      <c r="AB1306" s="341">
        <v>6024.9999999999982</v>
      </c>
      <c r="AC1306" s="341">
        <v>5850</v>
      </c>
      <c r="AD1306" s="341">
        <v>5994.9999999999991</v>
      </c>
      <c r="AE1306" s="341">
        <v>5844.9999999999991</v>
      </c>
      <c r="AF1306" s="341">
        <v>5844.9999999999991</v>
      </c>
      <c r="AG1306" s="341">
        <v>5699.9999999999991</v>
      </c>
      <c r="AH1306" s="341">
        <v>5949.9999999999991</v>
      </c>
      <c r="AI1306" s="341">
        <v>6119.9999999999991</v>
      </c>
      <c r="AJ1306" s="341">
        <v>5924.9999999999991</v>
      </c>
      <c r="AK1306" s="341">
        <v>5854.9999999999991</v>
      </c>
      <c r="AL1306" s="341">
        <v>5999.9999999999982</v>
      </c>
      <c r="AM1306" s="341">
        <v>6174.9999999999991</v>
      </c>
      <c r="AN1306" s="341">
        <v>6119.9999999999991</v>
      </c>
      <c r="AO1306" s="341">
        <v>6064.9999999999991</v>
      </c>
      <c r="AP1306" s="341">
        <v>5914.9999999999991</v>
      </c>
      <c r="AQ1306" s="341">
        <v>5654.9999999999991</v>
      </c>
      <c r="AR1306" s="341">
        <v>5430</v>
      </c>
      <c r="AS1306" s="341">
        <v>5664.9999999999991</v>
      </c>
      <c r="AT1306" s="341">
        <v>5699.9999999999991</v>
      </c>
      <c r="AU1306" s="341">
        <v>5564.9999999999991</v>
      </c>
      <c r="AV1306" s="341">
        <f ca="1">Calc!AE17</f>
        <v>5564.9999999999991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6">
        <v>1000</v>
      </c>
      <c r="G1307" s="1196">
        <v>1000</v>
      </c>
      <c r="H1307" s="1196">
        <v>1000</v>
      </c>
      <c r="I1307" s="1196">
        <v>1000</v>
      </c>
      <c r="J1307" s="1196">
        <v>1000</v>
      </c>
      <c r="K1307" s="1196">
        <v>1000</v>
      </c>
      <c r="L1307" s="1196">
        <v>1000</v>
      </c>
      <c r="M1307" s="1196">
        <v>1000</v>
      </c>
      <c r="N1307" s="1196">
        <v>1000</v>
      </c>
      <c r="O1307" s="1196">
        <v>1000</v>
      </c>
      <c r="P1307" s="1196">
        <v>1000</v>
      </c>
      <c r="Q1307" s="1196">
        <v>1000</v>
      </c>
      <c r="R1307" s="1196">
        <v>1000</v>
      </c>
      <c r="S1307" s="1196">
        <v>1000</v>
      </c>
      <c r="T1307" s="1196">
        <v>1000</v>
      </c>
      <c r="U1307" s="1196">
        <v>1000</v>
      </c>
      <c r="V1307" s="1196">
        <v>1000</v>
      </c>
      <c r="W1307" s="1196">
        <v>1000</v>
      </c>
      <c r="X1307" s="1196">
        <v>1000</v>
      </c>
      <c r="Y1307" s="1196">
        <v>1000</v>
      </c>
      <c r="Z1307" s="1196">
        <f ca="1">Calc!G18</f>
        <v>1000</v>
      </c>
      <c r="AB1307" s="341">
        <v>7388</v>
      </c>
      <c r="AC1307" s="341">
        <v>6677.9999999999973</v>
      </c>
      <c r="AD1307" s="341">
        <v>6260.0000000000018</v>
      </c>
      <c r="AE1307" s="341">
        <v>6236.0000000000018</v>
      </c>
      <c r="AF1307" s="341">
        <v>6236.0000000000018</v>
      </c>
      <c r="AG1307" s="341">
        <v>5700</v>
      </c>
      <c r="AH1307" s="341">
        <v>5755.9999999999945</v>
      </c>
      <c r="AI1307" s="341">
        <v>5215.9999999999964</v>
      </c>
      <c r="AJ1307" s="341">
        <v>5663.9999999999982</v>
      </c>
      <c r="AK1307" s="341">
        <v>6688.0400000000009</v>
      </c>
      <c r="AL1307" s="341">
        <v>5584.0000000000036</v>
      </c>
      <c r="AM1307" s="341">
        <v>6272.0000000000027</v>
      </c>
      <c r="AN1307" s="341">
        <v>6067.9999999999945</v>
      </c>
      <c r="AO1307" s="341">
        <v>6300</v>
      </c>
      <c r="AP1307" s="341">
        <v>6463.9999999999982</v>
      </c>
      <c r="AQ1307" s="341">
        <v>6879.9999999999955</v>
      </c>
      <c r="AR1307" s="341">
        <v>6003.9999999999964</v>
      </c>
      <c r="AS1307" s="341">
        <v>7784.0000000000036</v>
      </c>
      <c r="AT1307" s="341">
        <v>7336.0000000000018</v>
      </c>
      <c r="AU1307" s="341">
        <v>7451.9999999999982</v>
      </c>
      <c r="AV1307" s="341">
        <f ca="1">Calc!AE18</f>
        <v>7451.9999999999982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6">
        <v>6000</v>
      </c>
      <c r="G1308" s="1196">
        <v>6000</v>
      </c>
      <c r="H1308" s="1196">
        <v>6000</v>
      </c>
      <c r="I1308" s="1196">
        <v>6000</v>
      </c>
      <c r="J1308" s="1196">
        <v>6000</v>
      </c>
      <c r="K1308" s="1196">
        <v>6000</v>
      </c>
      <c r="L1308" s="1196">
        <v>6000</v>
      </c>
      <c r="M1308" s="1196">
        <v>6000</v>
      </c>
      <c r="N1308" s="1196">
        <v>6000</v>
      </c>
      <c r="O1308" s="1196">
        <v>6000</v>
      </c>
      <c r="P1308" s="1196">
        <v>6000</v>
      </c>
      <c r="Q1308" s="1196">
        <v>6000</v>
      </c>
      <c r="R1308" s="1196">
        <v>6000</v>
      </c>
      <c r="S1308" s="1196">
        <v>6000</v>
      </c>
      <c r="T1308" s="1196">
        <v>6000</v>
      </c>
      <c r="U1308" s="1196">
        <v>6000</v>
      </c>
      <c r="V1308" s="1196">
        <v>6000</v>
      </c>
      <c r="W1308" s="1196">
        <v>6000</v>
      </c>
      <c r="X1308" s="1196">
        <v>6000</v>
      </c>
      <c r="Y1308" s="1196">
        <v>6000</v>
      </c>
      <c r="Z1308" s="1196">
        <f ca="1">Calc!G19</f>
        <v>6000</v>
      </c>
      <c r="AB1308" s="341">
        <v>26540</v>
      </c>
      <c r="AC1308" s="341">
        <v>25840.000000000004</v>
      </c>
      <c r="AD1308" s="341">
        <v>25800.000000000004</v>
      </c>
      <c r="AE1308" s="341">
        <v>25420</v>
      </c>
      <c r="AF1308" s="341">
        <v>25420</v>
      </c>
      <c r="AG1308" s="341">
        <v>26480.000000000004</v>
      </c>
      <c r="AH1308" s="341">
        <v>24948</v>
      </c>
      <c r="AI1308" s="341">
        <v>24680</v>
      </c>
      <c r="AJ1308" s="341">
        <v>24040</v>
      </c>
      <c r="AK1308" s="341">
        <v>24598.800000000003</v>
      </c>
      <c r="AL1308" s="341">
        <v>23480.000000000004</v>
      </c>
      <c r="AM1308" s="341">
        <v>24720</v>
      </c>
      <c r="AN1308" s="341">
        <v>24160.000000000004</v>
      </c>
      <c r="AO1308" s="341">
        <v>23280</v>
      </c>
      <c r="AP1308" s="341">
        <v>23280</v>
      </c>
      <c r="AQ1308" s="341">
        <v>22680</v>
      </c>
      <c r="AR1308" s="341">
        <v>23560.000000000004</v>
      </c>
      <c r="AS1308" s="341">
        <v>24400</v>
      </c>
      <c r="AT1308" s="341">
        <v>23080</v>
      </c>
      <c r="AU1308" s="341">
        <v>25160.000000000004</v>
      </c>
      <c r="AV1308" s="341">
        <f ca="1">Calc!AE19</f>
        <v>25160.000000000004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6">
        <v>10000</v>
      </c>
      <c r="G1309" s="1196">
        <v>10000</v>
      </c>
      <c r="H1309" s="1196">
        <v>10000</v>
      </c>
      <c r="I1309" s="1196">
        <v>10000</v>
      </c>
      <c r="J1309" s="1196">
        <v>10000</v>
      </c>
      <c r="K1309" s="1196">
        <v>10000</v>
      </c>
      <c r="L1309" s="1196">
        <v>10000</v>
      </c>
      <c r="M1309" s="1196">
        <v>10000</v>
      </c>
      <c r="N1309" s="1196">
        <v>10000</v>
      </c>
      <c r="O1309" s="1196">
        <v>10000</v>
      </c>
      <c r="P1309" s="1196">
        <v>10000</v>
      </c>
      <c r="Q1309" s="1196">
        <v>10000</v>
      </c>
      <c r="R1309" s="1196">
        <v>10000</v>
      </c>
      <c r="S1309" s="1196">
        <v>10000</v>
      </c>
      <c r="T1309" s="1196">
        <v>10000</v>
      </c>
      <c r="U1309" s="1196">
        <v>10000</v>
      </c>
      <c r="V1309" s="1196">
        <v>10000</v>
      </c>
      <c r="W1309" s="1196">
        <v>10000</v>
      </c>
      <c r="X1309" s="1196">
        <v>10000</v>
      </c>
      <c r="Y1309" s="1196">
        <v>6250</v>
      </c>
      <c r="Z1309" s="1196">
        <f ca="1">Calc!G20</f>
        <v>6250</v>
      </c>
      <c r="AB1309" s="341">
        <v>2625.0000000000105</v>
      </c>
      <c r="AC1309" s="341">
        <v>3300.0000000000095</v>
      </c>
      <c r="AD1309" s="341">
        <v>3975.0000000000086</v>
      </c>
      <c r="AE1309" s="341">
        <v>4075.0000000000064</v>
      </c>
      <c r="AF1309" s="341">
        <v>4075.0000000000064</v>
      </c>
      <c r="AG1309" s="341">
        <v>4475.0000000000064</v>
      </c>
      <c r="AH1309" s="341">
        <v>5475.0000000000118</v>
      </c>
      <c r="AI1309" s="341">
        <v>4700.0000000000064</v>
      </c>
      <c r="AJ1309" s="341">
        <v>4175.0000000000045</v>
      </c>
      <c r="AK1309" s="341">
        <v>4975.0000000000045</v>
      </c>
      <c r="AL1309" s="341">
        <v>7025.0000000000055</v>
      </c>
      <c r="AM1309" s="341">
        <v>9175.0000000000036</v>
      </c>
      <c r="AN1309" s="341">
        <v>9525.0000000000055</v>
      </c>
      <c r="AO1309" s="341">
        <v>7475.0000000000045</v>
      </c>
      <c r="AP1309" s="341">
        <v>7350.0000000000118</v>
      </c>
      <c r="AQ1309" s="341">
        <v>5825.0000000000045</v>
      </c>
      <c r="AR1309" s="341">
        <v>6025.0000000000091</v>
      </c>
      <c r="AS1309" s="341">
        <v>5900.0000000000073</v>
      </c>
      <c r="AT1309" s="341">
        <v>6075.0000000000082</v>
      </c>
      <c r="AU1309" s="341">
        <v>18.74999999999627</v>
      </c>
      <c r="AV1309" s="341">
        <f ca="1">Calc!AE20</f>
        <v>18.74999999999627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6">
        <v>30000</v>
      </c>
      <c r="G1310" s="1196">
        <v>30000</v>
      </c>
      <c r="H1310" s="1196">
        <v>30000</v>
      </c>
      <c r="I1310" s="1196">
        <v>30000</v>
      </c>
      <c r="J1310" s="1196">
        <v>30000</v>
      </c>
      <c r="K1310" s="1196">
        <v>30000</v>
      </c>
      <c r="L1310" s="1196">
        <v>30000</v>
      </c>
      <c r="M1310" s="1196">
        <v>30000</v>
      </c>
      <c r="N1310" s="1196">
        <v>30000</v>
      </c>
      <c r="O1310" s="1196">
        <v>30000</v>
      </c>
      <c r="P1310" s="1196">
        <v>30000</v>
      </c>
      <c r="Q1310" s="1196">
        <v>30000</v>
      </c>
      <c r="R1310" s="1196">
        <v>30000</v>
      </c>
      <c r="S1310" s="1196">
        <v>30000</v>
      </c>
      <c r="T1310" s="1196">
        <v>30000</v>
      </c>
      <c r="U1310" s="1196">
        <v>30000</v>
      </c>
      <c r="V1310" s="1196">
        <v>30000</v>
      </c>
      <c r="W1310" s="1196">
        <v>30000</v>
      </c>
      <c r="X1310" s="1196">
        <v>30000</v>
      </c>
      <c r="Y1310" s="1196">
        <v>30000</v>
      </c>
      <c r="Z1310" s="1196">
        <f ca="1">Calc!G21</f>
        <v>30000</v>
      </c>
      <c r="AB1310" s="341">
        <v>38599.999999999993</v>
      </c>
      <c r="AC1310" s="341">
        <v>38553</v>
      </c>
      <c r="AD1310" s="341">
        <v>38549.999999999993</v>
      </c>
      <c r="AE1310" s="341">
        <v>38500</v>
      </c>
      <c r="AF1310" s="341">
        <v>38500</v>
      </c>
      <c r="AG1310" s="341">
        <v>38400</v>
      </c>
      <c r="AH1310" s="341">
        <v>49873.999999999993</v>
      </c>
      <c r="AI1310" s="341">
        <v>55069</v>
      </c>
      <c r="AJ1310" s="341">
        <v>55244</v>
      </c>
      <c r="AK1310" s="341">
        <v>55351</v>
      </c>
      <c r="AL1310" s="341">
        <v>55299.999999999993</v>
      </c>
      <c r="AM1310" s="341">
        <v>55366</v>
      </c>
      <c r="AN1310" s="341">
        <v>55349.999999999993</v>
      </c>
      <c r="AO1310" s="341">
        <v>55334.999999999993</v>
      </c>
      <c r="AP1310" s="341">
        <v>55383.999999999993</v>
      </c>
      <c r="AQ1310" s="341">
        <v>55330.999999999993</v>
      </c>
      <c r="AR1310" s="341">
        <v>55299.999999999993</v>
      </c>
      <c r="AS1310" s="341">
        <v>55649.999999999993</v>
      </c>
      <c r="AT1310" s="341">
        <v>55649.999999999993</v>
      </c>
      <c r="AU1310" s="341">
        <v>55671</v>
      </c>
      <c r="AV1310" s="341">
        <f ca="1">Calc!AE21</f>
        <v>55671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6">
        <v>10</v>
      </c>
      <c r="G1311" s="1196">
        <v>10</v>
      </c>
      <c r="H1311" s="1196">
        <v>10</v>
      </c>
      <c r="I1311" s="1196">
        <v>10</v>
      </c>
      <c r="J1311" s="1196">
        <v>10</v>
      </c>
      <c r="K1311" s="1196">
        <v>10</v>
      </c>
      <c r="L1311" s="1196">
        <v>10</v>
      </c>
      <c r="M1311" s="1196">
        <v>10</v>
      </c>
      <c r="N1311" s="1196">
        <v>10</v>
      </c>
      <c r="O1311" s="1196">
        <v>10</v>
      </c>
      <c r="P1311" s="1196">
        <v>10</v>
      </c>
      <c r="Q1311" s="1196">
        <v>10</v>
      </c>
      <c r="R1311" s="1196">
        <v>10</v>
      </c>
      <c r="S1311" s="1196">
        <v>10</v>
      </c>
      <c r="T1311" s="1196">
        <v>10</v>
      </c>
      <c r="U1311" s="1196">
        <v>10</v>
      </c>
      <c r="V1311" s="1196">
        <v>10</v>
      </c>
      <c r="W1311" s="1196">
        <v>10</v>
      </c>
      <c r="X1311" s="1196">
        <v>10</v>
      </c>
      <c r="Y1311" s="1196">
        <v>10</v>
      </c>
      <c r="Z1311" s="1196">
        <f ca="1">Calc!G22</f>
        <v>10</v>
      </c>
      <c r="AB1311" s="341">
        <v>-8045.729999999995</v>
      </c>
      <c r="AC1311" s="341">
        <v>-8808.0299999999988</v>
      </c>
      <c r="AD1311" s="341">
        <v>-8632.1069999999963</v>
      </c>
      <c r="AE1311" s="341">
        <v>-9233.7299999999977</v>
      </c>
      <c r="AF1311" s="341">
        <v>-9233.7299999999977</v>
      </c>
      <c r="AG1311" s="341">
        <v>-9075.3299999999945</v>
      </c>
      <c r="AH1311" s="341">
        <v>-10535.579999999996</v>
      </c>
      <c r="AI1311" s="341">
        <v>-11055.329999999994</v>
      </c>
      <c r="AJ1311" s="341">
        <v>-10995.929999999998</v>
      </c>
      <c r="AK1311" s="341">
        <v>-10263.329999999998</v>
      </c>
      <c r="AL1311" s="341">
        <v>-10847.43</v>
      </c>
      <c r="AM1311" s="341">
        <v>-10342.529999999995</v>
      </c>
      <c r="AN1311" s="341">
        <v>-10530.630000000001</v>
      </c>
      <c r="AO1311" s="341">
        <v>-10015.829999999998</v>
      </c>
      <c r="AP1311" s="341">
        <v>-10411.829999999996</v>
      </c>
      <c r="AQ1311" s="341">
        <v>-10500.929999999998</v>
      </c>
      <c r="AR1311" s="341">
        <v>-10283.130000000001</v>
      </c>
      <c r="AS1311" s="341">
        <v>-9614.8799999999956</v>
      </c>
      <c r="AT1311" s="341">
        <v>-10946.429999999995</v>
      </c>
      <c r="AU1311" s="341">
        <v>-10763.28</v>
      </c>
      <c r="AV1311" s="341">
        <f ca="1">Calc!AE22</f>
        <v>-10763.28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6">
        <v>12000</v>
      </c>
      <c r="G1312" s="1196">
        <v>12000</v>
      </c>
      <c r="H1312" s="1196">
        <v>12000</v>
      </c>
      <c r="I1312" s="1196">
        <v>12000</v>
      </c>
      <c r="J1312" s="1196">
        <v>12000</v>
      </c>
      <c r="K1312" s="1196">
        <v>12000</v>
      </c>
      <c r="L1312" s="1196">
        <v>12000</v>
      </c>
      <c r="M1312" s="1196">
        <v>12000</v>
      </c>
      <c r="N1312" s="1196">
        <v>12000</v>
      </c>
      <c r="O1312" s="1196">
        <v>12000</v>
      </c>
      <c r="P1312" s="1196">
        <v>12000</v>
      </c>
      <c r="Q1312" s="1196">
        <v>12000</v>
      </c>
      <c r="R1312" s="1196">
        <v>12000</v>
      </c>
      <c r="S1312" s="1196">
        <v>12000</v>
      </c>
      <c r="T1312" s="1196">
        <v>12000</v>
      </c>
      <c r="U1312" s="1196">
        <v>12000</v>
      </c>
      <c r="V1312" s="1196">
        <v>12000</v>
      </c>
      <c r="W1312" s="1196">
        <v>12000</v>
      </c>
      <c r="X1312" s="1196">
        <v>12000</v>
      </c>
      <c r="Y1312" s="1196">
        <v>12000</v>
      </c>
      <c r="Z1312" s="1196">
        <f ca="1">Calc!G23</f>
        <v>12000</v>
      </c>
      <c r="AB1312" s="341">
        <v>-1350.0000000000014</v>
      </c>
      <c r="AC1312" s="341">
        <v>-1469.9999999999989</v>
      </c>
      <c r="AD1312" s="341">
        <v>-1689.9999999999977</v>
      </c>
      <c r="AE1312" s="341">
        <v>-1820.0000000000002</v>
      </c>
      <c r="AF1312" s="341">
        <v>-1820.0000000000002</v>
      </c>
      <c r="AG1312" s="341">
        <v>-1050.0000000000043</v>
      </c>
      <c r="AH1312" s="341">
        <v>-4100.0000000000018</v>
      </c>
      <c r="AI1312" s="341">
        <v>-3969.9999999999991</v>
      </c>
      <c r="AJ1312" s="341">
        <v>-4369.9999999999973</v>
      </c>
      <c r="AK1312" s="341">
        <v>-1509.999999999998</v>
      </c>
      <c r="AL1312" s="341">
        <v>-240.00000000000199</v>
      </c>
      <c r="AM1312" s="341">
        <v>210.00000000000085</v>
      </c>
      <c r="AN1312" s="341">
        <v>-399.99999999999858</v>
      </c>
      <c r="AO1312" s="341">
        <v>-740.00000000000205</v>
      </c>
      <c r="AP1312" s="341">
        <v>-1420.0000000000018</v>
      </c>
      <c r="AQ1312" s="341">
        <v>-2109.9999999999995</v>
      </c>
      <c r="AR1312" s="341">
        <v>-2870.0000000000045</v>
      </c>
      <c r="AS1312" s="341">
        <v>-1800.0000000000043</v>
      </c>
      <c r="AT1312" s="341">
        <v>-2430.0000000000014</v>
      </c>
      <c r="AU1312" s="341">
        <v>-2242.5000000000014</v>
      </c>
      <c r="AV1312" s="341">
        <f ca="1">Calc!AE23</f>
        <v>-2242.5000000000014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6">
        <v>1000</v>
      </c>
      <c r="G1313" s="1196">
        <v>1000</v>
      </c>
      <c r="H1313" s="1196">
        <v>1000</v>
      </c>
      <c r="I1313" s="1196">
        <v>1000</v>
      </c>
      <c r="J1313" s="1196">
        <v>1000</v>
      </c>
      <c r="K1313" s="1196">
        <v>1000</v>
      </c>
      <c r="L1313" s="1196">
        <v>1000</v>
      </c>
      <c r="M1313" s="1196">
        <v>1000</v>
      </c>
      <c r="N1313" s="1196">
        <v>1000</v>
      </c>
      <c r="O1313" s="1196">
        <v>1000</v>
      </c>
      <c r="P1313" s="1196">
        <v>1000</v>
      </c>
      <c r="Q1313" s="1196">
        <v>1000</v>
      </c>
      <c r="R1313" s="1196">
        <v>1000</v>
      </c>
      <c r="S1313" s="1196">
        <v>1000</v>
      </c>
      <c r="T1313" s="1196">
        <v>1000</v>
      </c>
      <c r="U1313" s="1196">
        <v>1000</v>
      </c>
      <c r="V1313" s="1196">
        <v>1000</v>
      </c>
      <c r="W1313" s="1196">
        <v>1000</v>
      </c>
      <c r="X1313" s="1196">
        <v>1000</v>
      </c>
      <c r="Y1313" s="1196">
        <v>1000</v>
      </c>
      <c r="Z1313" s="1196">
        <f ca="1">Calc!G24</f>
        <v>1000</v>
      </c>
      <c r="AB1313" s="341">
        <v>2364.9999999999986</v>
      </c>
      <c r="AC1313" s="341">
        <v>2364.9999999999986</v>
      </c>
      <c r="AD1313" s="341">
        <v>2204.9999999999982</v>
      </c>
      <c r="AE1313" s="341">
        <v>-140.00000000000057</v>
      </c>
      <c r="AF1313" s="341">
        <v>-140.00000000000057</v>
      </c>
      <c r="AG1313" s="341">
        <v>2439.9999999999977</v>
      </c>
      <c r="AH1313" s="341">
        <v>-1680.0000000000068</v>
      </c>
      <c r="AI1313" s="341">
        <v>279.99999999998693</v>
      </c>
      <c r="AJ1313" s="341">
        <v>-240.00000000000909</v>
      </c>
      <c r="AK1313" s="341">
        <v>-3220.0000000000132</v>
      </c>
      <c r="AL1313" s="341">
        <v>-5840.0000000000036</v>
      </c>
      <c r="AM1313" s="341">
        <v>-4340.0000000000036</v>
      </c>
      <c r="AN1313" s="341">
        <v>-6260.0000000000055</v>
      </c>
      <c r="AO1313" s="341">
        <v>-6480.0000000000036</v>
      </c>
      <c r="AP1313" s="341">
        <v>-7360.0000000000136</v>
      </c>
      <c r="AQ1313" s="341">
        <v>-9140</v>
      </c>
      <c r="AR1313" s="341">
        <v>-7840.0000000000036</v>
      </c>
      <c r="AS1313" s="341">
        <v>-5160.0000000000109</v>
      </c>
      <c r="AT1313" s="341">
        <v>-5020.00000000001</v>
      </c>
      <c r="AU1313" s="341">
        <v>-3500</v>
      </c>
      <c r="AV1313" s="341">
        <f ca="1">Calc!AE24</f>
        <v>-3500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6">
        <v>270000</v>
      </c>
      <c r="G1314" s="1196">
        <v>270000</v>
      </c>
      <c r="H1314" s="1196">
        <v>270000</v>
      </c>
      <c r="I1314" s="1196">
        <v>270000</v>
      </c>
      <c r="J1314" s="1196">
        <v>270000</v>
      </c>
      <c r="K1314" s="1196">
        <v>270000</v>
      </c>
      <c r="L1314" s="1196">
        <v>270000</v>
      </c>
      <c r="M1314" s="1196">
        <v>270000</v>
      </c>
      <c r="N1314" s="1196">
        <v>270000</v>
      </c>
      <c r="O1314" s="1196">
        <v>270000</v>
      </c>
      <c r="P1314" s="1196">
        <v>270000</v>
      </c>
      <c r="Q1314" s="1196">
        <v>270000</v>
      </c>
      <c r="R1314" s="1196">
        <v>270000</v>
      </c>
      <c r="S1314" s="1196">
        <v>270000</v>
      </c>
      <c r="T1314" s="1196">
        <v>270000</v>
      </c>
      <c r="U1314" s="1196">
        <v>270000</v>
      </c>
      <c r="V1314" s="1196">
        <v>270000</v>
      </c>
      <c r="W1314" s="1196">
        <v>270000</v>
      </c>
      <c r="X1314" s="1196">
        <v>270000</v>
      </c>
      <c r="Y1314" s="1196">
        <v>270000</v>
      </c>
      <c r="Z1314" s="1196">
        <f ca="1">Calc!G25</f>
        <v>270000</v>
      </c>
      <c r="AB1314" s="341">
        <v>-96.525000000000887</v>
      </c>
      <c r="AC1314" s="341">
        <v>-291.52500000000089</v>
      </c>
      <c r="AD1314" s="341">
        <v>-574.27499999999873</v>
      </c>
      <c r="AE1314" s="341">
        <v>-1061.7749999999987</v>
      </c>
      <c r="AF1314" s="341">
        <v>-1061.7749999999987</v>
      </c>
      <c r="AG1314" s="341">
        <v>-467.02500000000197</v>
      </c>
      <c r="AH1314" s="341">
        <v>-1130.025000000003</v>
      </c>
      <c r="AI1314" s="341">
        <v>-935.02500000000305</v>
      </c>
      <c r="AJ1314" s="341">
        <v>-155.0250000000031</v>
      </c>
      <c r="AK1314" s="341">
        <v>-632.77500000000089</v>
      </c>
      <c r="AL1314" s="341">
        <v>-662.02500000000202</v>
      </c>
      <c r="AM1314" s="341">
        <v>488.47499999999911</v>
      </c>
      <c r="AN1314" s="341">
        <v>-767.71500000000231</v>
      </c>
      <c r="AO1314" s="341">
        <v>-749.77499999999975</v>
      </c>
      <c r="AP1314" s="341">
        <v>-759.52500000000202</v>
      </c>
      <c r="AQ1314" s="341">
        <v>-1091.0249999999996</v>
      </c>
      <c r="AR1314" s="341">
        <v>-1451.7749999999985</v>
      </c>
      <c r="AS1314" s="341">
        <v>127.72500000000022</v>
      </c>
      <c r="AT1314" s="341">
        <v>69.224999999998005</v>
      </c>
      <c r="AU1314" s="341">
        <v>98.474999999999113</v>
      </c>
      <c r="AV1314" s="341">
        <f ca="1">Calc!AE25</f>
        <v>98.474999999999113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6">
        <v>2660</v>
      </c>
      <c r="G1315" s="1196">
        <v>2660</v>
      </c>
      <c r="H1315" s="1196">
        <v>2660</v>
      </c>
      <c r="I1315" s="1196">
        <v>2660</v>
      </c>
      <c r="J1315" s="1196">
        <v>2660</v>
      </c>
      <c r="K1315" s="1196">
        <v>2660</v>
      </c>
      <c r="L1315" s="1196">
        <v>2660</v>
      </c>
      <c r="M1315" s="1196">
        <v>2660</v>
      </c>
      <c r="N1315" s="1196">
        <v>2660</v>
      </c>
      <c r="O1315" s="1196">
        <v>2660</v>
      </c>
      <c r="P1315" s="1196">
        <v>2660</v>
      </c>
      <c r="Q1315" s="1196">
        <v>2660</v>
      </c>
      <c r="R1315" s="1196">
        <v>2660</v>
      </c>
      <c r="S1315" s="1196">
        <v>2660</v>
      </c>
      <c r="T1315" s="1196">
        <v>2660</v>
      </c>
      <c r="U1315" s="1196">
        <v>2660</v>
      </c>
      <c r="V1315" s="1196">
        <v>2660</v>
      </c>
      <c r="W1315" s="1196">
        <v>2660</v>
      </c>
      <c r="X1315" s="1196">
        <v>2660</v>
      </c>
      <c r="Y1315" s="1196">
        <v>2660</v>
      </c>
      <c r="Z1315" s="1196">
        <f ca="1">Calc!G26</f>
        <v>2660</v>
      </c>
      <c r="AB1315" s="341">
        <v>2264.9999999999864</v>
      </c>
      <c r="AC1315" s="341">
        <v>2209.9999999999936</v>
      </c>
      <c r="AD1315" s="341">
        <v>1649.9999999999914</v>
      </c>
      <c r="AE1315" s="341">
        <v>1074.9999999999886</v>
      </c>
      <c r="AF1315" s="341">
        <v>1074.9999999999886</v>
      </c>
      <c r="AG1315" s="341">
        <v>0</v>
      </c>
      <c r="AH1315" s="341">
        <v>1709.9999999999936</v>
      </c>
      <c r="AI1315" s="341">
        <v>2839.9999999999891</v>
      </c>
      <c r="AJ1315" s="341">
        <v>3869.9999999999905</v>
      </c>
      <c r="AK1315" s="341">
        <v>5000</v>
      </c>
      <c r="AL1315" s="341">
        <v>3979.99999999999</v>
      </c>
      <c r="AM1315" s="341">
        <v>3099.9999999999945</v>
      </c>
      <c r="AN1315" s="341">
        <v>4559.9999999999882</v>
      </c>
      <c r="AO1315" s="341">
        <v>3619.9999999999905</v>
      </c>
      <c r="AP1315" s="341">
        <v>3979.99999999999</v>
      </c>
      <c r="AQ1315" s="341">
        <v>3794.9999999999873</v>
      </c>
      <c r="AR1315" s="341">
        <v>4159.9999999999964</v>
      </c>
      <c r="AS1315" s="341">
        <v>4750</v>
      </c>
      <c r="AT1315" s="341">
        <v>4629.9999999999955</v>
      </c>
      <c r="AU1315" s="341">
        <v>3529.9999999999868</v>
      </c>
      <c r="AV1315" s="341">
        <f ca="1">Calc!AE26</f>
        <v>3529.9999999999868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6">
        <v>0</v>
      </c>
      <c r="G1316" s="1196">
        <v>0</v>
      </c>
      <c r="H1316" s="1196">
        <v>0</v>
      </c>
      <c r="I1316" s="1196">
        <v>0</v>
      </c>
      <c r="J1316" s="1196">
        <v>0</v>
      </c>
      <c r="K1316" s="1196">
        <v>0</v>
      </c>
      <c r="L1316" s="1196">
        <v>0</v>
      </c>
      <c r="M1316" s="1196">
        <v>0</v>
      </c>
      <c r="N1316" s="1196">
        <v>0</v>
      </c>
      <c r="O1316" s="1196">
        <v>0</v>
      </c>
      <c r="P1316" s="1196">
        <v>0</v>
      </c>
      <c r="Q1316" s="1196">
        <v>0</v>
      </c>
      <c r="R1316" s="1196">
        <v>0</v>
      </c>
      <c r="S1316" s="1196">
        <v>0</v>
      </c>
      <c r="T1316" s="1196">
        <v>0</v>
      </c>
      <c r="U1316" s="1196">
        <v>0</v>
      </c>
      <c r="V1316" s="1196">
        <v>0</v>
      </c>
      <c r="W1316" s="1196">
        <v>0</v>
      </c>
      <c r="X1316" s="1196">
        <v>0</v>
      </c>
      <c r="Y1316" s="1196">
        <v>0</v>
      </c>
      <c r="Z1316" s="1196">
        <f ca="1">Calc!G27</f>
        <v>0</v>
      </c>
      <c r="AB1316" s="341">
        <v>-12299.999999999998</v>
      </c>
      <c r="AC1316" s="341">
        <v>-12614.999999999995</v>
      </c>
      <c r="AD1316" s="341">
        <v>-12750.3</v>
      </c>
      <c r="AE1316" s="341">
        <v>-12224.999999999998</v>
      </c>
      <c r="AF1316" s="341">
        <v>-12224.999999999998</v>
      </c>
      <c r="AG1316" s="341">
        <v>-12270</v>
      </c>
      <c r="AH1316" s="341">
        <v>-12599.999999999998</v>
      </c>
      <c r="AI1316" s="341">
        <v>-12389.999999999996</v>
      </c>
      <c r="AJ1316" s="341">
        <v>-11189.999999999996</v>
      </c>
      <c r="AK1316" s="341">
        <v>-10919.999999999996</v>
      </c>
      <c r="AL1316" s="341">
        <v>-11459.999999999996</v>
      </c>
      <c r="AM1316" s="341">
        <v>-11117.4</v>
      </c>
      <c r="AN1316" s="341">
        <v>-11489.999999999995</v>
      </c>
      <c r="AO1316" s="341">
        <v>-10739.999999999995</v>
      </c>
      <c r="AP1316" s="341">
        <v>-11129.999999999996</v>
      </c>
      <c r="AQ1316" s="341">
        <v>-11639.999999999996</v>
      </c>
      <c r="AR1316" s="341">
        <v>-11219.999999999995</v>
      </c>
      <c r="AS1316" s="341">
        <v>-11010</v>
      </c>
      <c r="AT1316" s="341">
        <v>-10889.999999999996</v>
      </c>
      <c r="AU1316" s="341">
        <v>-12030</v>
      </c>
      <c r="AV1316" s="341">
        <f ca="1">Calc!AE27</f>
        <v>-12030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6">
        <v>2000</v>
      </c>
      <c r="G1317" s="1196">
        <v>2000</v>
      </c>
      <c r="H1317" s="1196">
        <v>2000</v>
      </c>
      <c r="I1317" s="1196">
        <v>2000</v>
      </c>
      <c r="J1317" s="1196">
        <v>2000</v>
      </c>
      <c r="K1317" s="1196">
        <v>2000</v>
      </c>
      <c r="L1317" s="1196">
        <v>2000</v>
      </c>
      <c r="M1317" s="1196">
        <v>2000</v>
      </c>
      <c r="N1317" s="1196">
        <v>2000</v>
      </c>
      <c r="O1317" s="1196">
        <v>2000</v>
      </c>
      <c r="P1317" s="1196">
        <v>2000</v>
      </c>
      <c r="Q1317" s="1196">
        <v>2000</v>
      </c>
      <c r="R1317" s="1196">
        <v>2000</v>
      </c>
      <c r="S1317" s="1196">
        <v>2000</v>
      </c>
      <c r="T1317" s="1196">
        <v>2000</v>
      </c>
      <c r="U1317" s="1196">
        <v>2000</v>
      </c>
      <c r="V1317" s="1196">
        <v>2000</v>
      </c>
      <c r="W1317" s="1196">
        <v>2000</v>
      </c>
      <c r="X1317" s="1196">
        <v>2000</v>
      </c>
      <c r="Y1317" s="1196">
        <v>2000</v>
      </c>
      <c r="Z1317" s="1196">
        <f ca="1">Calc!G28</f>
        <v>2000</v>
      </c>
      <c r="AB1317" s="341">
        <v>1490.0000000000002</v>
      </c>
      <c r="AC1317" s="341">
        <v>930.00000000000148</v>
      </c>
      <c r="AD1317" s="341">
        <v>343.7999999999999</v>
      </c>
      <c r="AE1317" s="341">
        <v>600.00000000000136</v>
      </c>
      <c r="AF1317" s="341">
        <v>600.00000000000136</v>
      </c>
      <c r="AG1317" s="341">
        <v>950.00000000000102</v>
      </c>
      <c r="AH1317" s="341">
        <v>430.00000000000148</v>
      </c>
      <c r="AI1317" s="341">
        <v>430.00000000000148</v>
      </c>
      <c r="AJ1317" s="341">
        <v>-750</v>
      </c>
      <c r="AK1317" s="341">
        <v>-389.99999999999881</v>
      </c>
      <c r="AL1317" s="341">
        <v>-139.99999999999881</v>
      </c>
      <c r="AM1317" s="341">
        <v>250</v>
      </c>
      <c r="AN1317" s="341">
        <v>280.00000000000114</v>
      </c>
      <c r="AO1317" s="341">
        <v>360.00000000000119</v>
      </c>
      <c r="AP1317" s="341">
        <v>-139.99999999999881</v>
      </c>
      <c r="AQ1317" s="341">
        <v>-429.99999999999972</v>
      </c>
      <c r="AR1317" s="341">
        <v>-1479.9999999999986</v>
      </c>
      <c r="AS1317" s="341">
        <v>-2469.9999999999991</v>
      </c>
      <c r="AT1317" s="341">
        <v>-2369.9999999999991</v>
      </c>
      <c r="AU1317" s="341">
        <v>-2309.9999999999986</v>
      </c>
      <c r="AV1317" s="341">
        <f ca="1">Calc!AE28</f>
        <v>-2309.9999999999986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6">
        <v>12000</v>
      </c>
      <c r="G1318" s="1196">
        <v>12000</v>
      </c>
      <c r="H1318" s="1196">
        <v>12000</v>
      </c>
      <c r="I1318" s="1196">
        <v>12000</v>
      </c>
      <c r="J1318" s="1196">
        <v>12000</v>
      </c>
      <c r="K1318" s="1196">
        <v>12000</v>
      </c>
      <c r="L1318" s="1196">
        <v>12000</v>
      </c>
      <c r="M1318" s="1196">
        <v>12000</v>
      </c>
      <c r="N1318" s="1196">
        <v>12000</v>
      </c>
      <c r="O1318" s="1196">
        <v>12000</v>
      </c>
      <c r="P1318" s="1196">
        <v>12000</v>
      </c>
      <c r="Q1318" s="1196">
        <v>12000</v>
      </c>
      <c r="R1318" s="1196">
        <v>12000</v>
      </c>
      <c r="S1318" s="1196">
        <v>12000</v>
      </c>
      <c r="T1318" s="1196">
        <v>12000</v>
      </c>
      <c r="U1318" s="1196">
        <v>12000</v>
      </c>
      <c r="V1318" s="1196">
        <v>12000</v>
      </c>
      <c r="W1318" s="1196">
        <v>12000</v>
      </c>
      <c r="X1318" s="1196">
        <v>12000</v>
      </c>
      <c r="Y1318" s="1196">
        <v>12000</v>
      </c>
      <c r="Z1318" s="1196">
        <f ca="1">Calc!G29</f>
        <v>12000</v>
      </c>
      <c r="AB1318" s="341">
        <v>92430.15</v>
      </c>
      <c r="AC1318" s="341">
        <v>90629.999999999985</v>
      </c>
      <c r="AD1318" s="341">
        <v>90307.5</v>
      </c>
      <c r="AE1318" s="341">
        <v>90457.499999999985</v>
      </c>
      <c r="AF1318" s="341">
        <v>90457.499999999985</v>
      </c>
      <c r="AG1318" s="341">
        <v>92024.999999999985</v>
      </c>
      <c r="AH1318" s="341">
        <v>94334.999999999985</v>
      </c>
      <c r="AI1318" s="341">
        <v>95264.999999999985</v>
      </c>
      <c r="AJ1318" s="341">
        <v>94709.999999999985</v>
      </c>
      <c r="AK1318" s="341">
        <v>95692.499999999985</v>
      </c>
      <c r="AL1318" s="341">
        <v>96224.999999999985</v>
      </c>
      <c r="AM1318" s="341">
        <v>97139.999999999985</v>
      </c>
      <c r="AN1318" s="341">
        <v>95939.999999999985</v>
      </c>
      <c r="AO1318" s="341">
        <v>96285</v>
      </c>
      <c r="AP1318" s="341">
        <v>95939.999999999985</v>
      </c>
      <c r="AQ1318" s="341">
        <v>95115</v>
      </c>
      <c r="AR1318" s="341">
        <v>95655</v>
      </c>
      <c r="AS1318" s="341">
        <v>95894.999999999985</v>
      </c>
      <c r="AT1318" s="341">
        <v>94290</v>
      </c>
      <c r="AU1318" s="341">
        <v>97094.999999999985</v>
      </c>
      <c r="AV1318" s="341">
        <f ca="1">Calc!AE29</f>
        <v>97094.999999999985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6">
        <v>10200</v>
      </c>
      <c r="G1319" s="1196">
        <v>10200</v>
      </c>
      <c r="H1319" s="1196">
        <v>10200</v>
      </c>
      <c r="I1319" s="1196">
        <v>10200</v>
      </c>
      <c r="J1319" s="1196">
        <v>10200</v>
      </c>
      <c r="K1319" s="1196">
        <v>10200</v>
      </c>
      <c r="L1319" s="1196">
        <v>10200</v>
      </c>
      <c r="M1319" s="1196">
        <v>10200</v>
      </c>
      <c r="N1319" s="1196">
        <v>10200</v>
      </c>
      <c r="O1319" s="1196">
        <v>10200</v>
      </c>
      <c r="P1319" s="1196">
        <v>10200</v>
      </c>
      <c r="Q1319" s="1196">
        <v>10200</v>
      </c>
      <c r="R1319" s="1196">
        <v>10200</v>
      </c>
      <c r="S1319" s="1196">
        <v>10200</v>
      </c>
      <c r="T1319" s="1196">
        <v>10200</v>
      </c>
      <c r="U1319" s="1196">
        <v>10200</v>
      </c>
      <c r="V1319" s="1196">
        <v>10200</v>
      </c>
      <c r="W1319" s="1196">
        <v>10200</v>
      </c>
      <c r="X1319" s="1196">
        <v>10200</v>
      </c>
      <c r="Y1319" s="1196">
        <v>10200</v>
      </c>
      <c r="Z1319" s="1196">
        <f ca="1">Calc!G30</f>
        <v>10200</v>
      </c>
      <c r="AB1319" s="341">
        <v>-4152.0000000000009</v>
      </c>
      <c r="AC1319" s="341">
        <v>-3978.0000000000059</v>
      </c>
      <c r="AD1319" s="341">
        <v>-3260.9999999999927</v>
      </c>
      <c r="AE1319" s="341">
        <v>-1894.4999999999993</v>
      </c>
      <c r="AF1319" s="341">
        <v>-1894.4999999999993</v>
      </c>
      <c r="AG1319" s="341">
        <v>-1413.0000000000023</v>
      </c>
      <c r="AH1319" s="341">
        <v>-1193.9999999999968</v>
      </c>
      <c r="AI1319" s="341">
        <v>-861.00000000000136</v>
      </c>
      <c r="AJ1319" s="341">
        <v>-1565.9999999999995</v>
      </c>
      <c r="AK1319" s="341">
        <v>-1763.2499999999993</v>
      </c>
      <c r="AL1319" s="341">
        <v>-1558.499999999998</v>
      </c>
      <c r="AM1319" s="341">
        <v>-680.99999999999454</v>
      </c>
      <c r="AN1319" s="341">
        <v>-1366.500000000002</v>
      </c>
      <c r="AO1319" s="341">
        <v>-1357.5000000000018</v>
      </c>
      <c r="AP1319" s="341">
        <v>-1750.5000000000023</v>
      </c>
      <c r="AQ1319" s="341">
        <v>-284.99999999999659</v>
      </c>
      <c r="AR1319" s="341">
        <v>-316.50000000000205</v>
      </c>
      <c r="AS1319" s="341">
        <v>-610.49999999999898</v>
      </c>
      <c r="AT1319" s="341">
        <v>-760.49999999999898</v>
      </c>
      <c r="AU1319" s="341">
        <v>-2039.999999999995</v>
      </c>
      <c r="AV1319" s="341">
        <f ca="1">Calc!AE30</f>
        <v>-2039.999999999995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6">
        <v>200</v>
      </c>
      <c r="G1320" s="1196">
        <v>200</v>
      </c>
      <c r="H1320" s="1196">
        <v>200</v>
      </c>
      <c r="I1320" s="1196">
        <v>200</v>
      </c>
      <c r="J1320" s="1196">
        <v>200</v>
      </c>
      <c r="K1320" s="1196">
        <v>200</v>
      </c>
      <c r="L1320" s="1196">
        <v>200</v>
      </c>
      <c r="M1320" s="1196">
        <v>200</v>
      </c>
      <c r="N1320" s="1196">
        <v>200</v>
      </c>
      <c r="O1320" s="1196">
        <v>200</v>
      </c>
      <c r="P1320" s="1196">
        <v>200</v>
      </c>
      <c r="Q1320" s="1196">
        <v>200</v>
      </c>
      <c r="R1320" s="1196">
        <v>200</v>
      </c>
      <c r="S1320" s="1196">
        <v>200</v>
      </c>
      <c r="T1320" s="1196">
        <v>200</v>
      </c>
      <c r="U1320" s="1196">
        <v>200</v>
      </c>
      <c r="V1320" s="1196">
        <v>200</v>
      </c>
      <c r="W1320" s="1196">
        <v>4200</v>
      </c>
      <c r="X1320" s="1196">
        <v>4200</v>
      </c>
      <c r="Y1320" s="1196">
        <v>4200</v>
      </c>
      <c r="Z1320" s="1196">
        <f ca="1">Calc!G31</f>
        <v>4200</v>
      </c>
      <c r="AB1320" s="341">
        <v>2325.0000000000027</v>
      </c>
      <c r="AC1320" s="341">
        <v>1274.9999999999914</v>
      </c>
      <c r="AD1320" s="341">
        <v>-2515.0000000000005</v>
      </c>
      <c r="AE1320" s="341">
        <v>-2480.0000000000041</v>
      </c>
      <c r="AF1320" s="341">
        <v>-2480.0000000000041</v>
      </c>
      <c r="AG1320" s="341">
        <v>-2375</v>
      </c>
      <c r="AH1320" s="341">
        <v>100.00000000000853</v>
      </c>
      <c r="AI1320" s="341">
        <v>579.99999999999829</v>
      </c>
      <c r="AJ1320" s="341">
        <v>1549.9999999999973</v>
      </c>
      <c r="AK1320" s="341">
        <v>2540.0000000000064</v>
      </c>
      <c r="AL1320" s="341">
        <v>3370.0000000000045</v>
      </c>
      <c r="AM1320" s="341">
        <v>3370.0000000000045</v>
      </c>
      <c r="AN1320" s="341">
        <v>3760.000000000005</v>
      </c>
      <c r="AO1320" s="341">
        <v>3790.0000000000064</v>
      </c>
      <c r="AP1320" s="341">
        <v>4549.9999999999973</v>
      </c>
      <c r="AQ1320" s="341">
        <v>5609.9999999999991</v>
      </c>
      <c r="AR1320" s="341">
        <v>5340.0000000000036</v>
      </c>
      <c r="AS1320" s="341">
        <v>4375</v>
      </c>
      <c r="AT1320" s="341">
        <v>4055.0000000000068</v>
      </c>
      <c r="AU1320" s="341">
        <v>3760.000000000005</v>
      </c>
      <c r="AV1320" s="341">
        <f ca="1">Calc!AE31</f>
        <v>3760.000000000005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6">
        <v>16200</v>
      </c>
      <c r="G1321" s="1196">
        <v>16200</v>
      </c>
      <c r="H1321" s="1196">
        <v>16200</v>
      </c>
      <c r="I1321" s="1196">
        <v>16200</v>
      </c>
      <c r="J1321" s="1196">
        <v>16200</v>
      </c>
      <c r="K1321" s="1196">
        <v>16200</v>
      </c>
      <c r="L1321" s="1196">
        <v>16200</v>
      </c>
      <c r="M1321" s="1196">
        <v>16200</v>
      </c>
      <c r="N1321" s="1196">
        <v>16200</v>
      </c>
      <c r="O1321" s="1196">
        <v>16200</v>
      </c>
      <c r="P1321" s="1196">
        <v>16200</v>
      </c>
      <c r="Q1321" s="1196">
        <v>16200</v>
      </c>
      <c r="R1321" s="1196">
        <v>16200</v>
      </c>
      <c r="S1321" s="1196">
        <v>16200</v>
      </c>
      <c r="T1321" s="1196">
        <v>16200</v>
      </c>
      <c r="U1321" s="1196">
        <v>16200</v>
      </c>
      <c r="V1321" s="1196">
        <v>16200</v>
      </c>
      <c r="W1321" s="1196">
        <v>16200</v>
      </c>
      <c r="X1321" s="1196">
        <v>16200</v>
      </c>
      <c r="Y1321" s="1196">
        <v>14200</v>
      </c>
      <c r="Z1321" s="1196">
        <f ca="1">Calc!G32</f>
        <v>14200</v>
      </c>
      <c r="AB1321" s="341">
        <v>-2383.9999999999918</v>
      </c>
      <c r="AC1321" s="341">
        <v>-3079.9999999999955</v>
      </c>
      <c r="AD1321" s="341">
        <v>-3107.9999999999927</v>
      </c>
      <c r="AE1321" s="341">
        <v>-1655.9999999999945</v>
      </c>
      <c r="AF1321" s="341">
        <v>-1655.9999999999945</v>
      </c>
      <c r="AG1321" s="341">
        <v>-2987.9999999999995</v>
      </c>
      <c r="AH1321" s="341">
        <v>-4663.9999999999982</v>
      </c>
      <c r="AI1321" s="341">
        <v>-5767.9999999999945</v>
      </c>
      <c r="AJ1321" s="341">
        <v>-5724.0000000000009</v>
      </c>
      <c r="AK1321" s="341">
        <v>-5276.7999999999802</v>
      </c>
      <c r="AL1321" s="341">
        <v>-8560.0000000000018</v>
      </c>
      <c r="AM1321" s="341">
        <v>-11799.999999999984</v>
      </c>
      <c r="AN1321" s="341">
        <v>-12329.999999999984</v>
      </c>
      <c r="AO1321" s="341">
        <v>-10599.999999999995</v>
      </c>
      <c r="AP1321" s="341">
        <v>-9519.9999999999818</v>
      </c>
      <c r="AQ1321" s="341">
        <v>-11299.999999999984</v>
      </c>
      <c r="AR1321" s="341">
        <v>-11599.999999999995</v>
      </c>
      <c r="AS1321" s="341">
        <v>-16699.999999999989</v>
      </c>
      <c r="AT1321" s="341">
        <v>-18949.999999999989</v>
      </c>
      <c r="AU1321" s="341">
        <v>-9.9999999999909051</v>
      </c>
      <c r="AV1321" s="341">
        <f ca="1">Calc!AE32</f>
        <v>-9.9999999999909051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6">
        <v>600</v>
      </c>
      <c r="G1322" s="1196">
        <v>600</v>
      </c>
      <c r="H1322" s="1196">
        <v>600</v>
      </c>
      <c r="I1322" s="1196">
        <v>600</v>
      </c>
      <c r="J1322" s="1196">
        <v>600</v>
      </c>
      <c r="K1322" s="1196">
        <v>600</v>
      </c>
      <c r="L1322" s="1196">
        <v>600</v>
      </c>
      <c r="M1322" s="1196">
        <v>600</v>
      </c>
      <c r="N1322" s="1196">
        <v>600</v>
      </c>
      <c r="O1322" s="1196">
        <v>600</v>
      </c>
      <c r="P1322" s="1196">
        <v>600</v>
      </c>
      <c r="Q1322" s="1196">
        <v>600</v>
      </c>
      <c r="R1322" s="1196">
        <v>600</v>
      </c>
      <c r="S1322" s="1196">
        <v>600</v>
      </c>
      <c r="T1322" s="1196">
        <v>600</v>
      </c>
      <c r="U1322" s="1196">
        <v>600</v>
      </c>
      <c r="V1322" s="1196">
        <v>600</v>
      </c>
      <c r="W1322" s="1196">
        <v>600</v>
      </c>
      <c r="X1322" s="1196">
        <v>600</v>
      </c>
      <c r="Y1322" s="1196">
        <v>600</v>
      </c>
      <c r="Z1322" s="1196">
        <f ca="1">Calc!G33</f>
        <v>600</v>
      </c>
      <c r="AB1322" s="341">
        <v>-3442.0000000000073</v>
      </c>
      <c r="AC1322" s="341">
        <v>-3686.0000000000127</v>
      </c>
      <c r="AD1322" s="341">
        <v>-4546.0000000000036</v>
      </c>
      <c r="AE1322" s="341">
        <v>1580.0000000000182</v>
      </c>
      <c r="AF1322" s="341">
        <v>1580.0000000000182</v>
      </c>
      <c r="AG1322" s="341">
        <v>1332.0000000000164</v>
      </c>
      <c r="AH1322" s="341">
        <v>490.00000000000909</v>
      </c>
      <c r="AI1322" s="341">
        <v>-1113.9999999999873</v>
      </c>
      <c r="AJ1322" s="341">
        <v>-596.00000000000364</v>
      </c>
      <c r="AK1322" s="341">
        <v>-1105.0000000000182</v>
      </c>
      <c r="AL1322" s="341">
        <v>2453.9999999999964</v>
      </c>
      <c r="AM1322" s="341">
        <v>3604.5000000000073</v>
      </c>
      <c r="AN1322" s="341">
        <v>1811.9999999999891</v>
      </c>
      <c r="AO1322" s="341">
        <v>-1132.0000000000164</v>
      </c>
      <c r="AP1322" s="341">
        <v>-7392.0000000000073</v>
      </c>
      <c r="AQ1322" s="341">
        <v>-4848.0000000000018</v>
      </c>
      <c r="AR1322" s="341">
        <v>-8546.0000000000036</v>
      </c>
      <c r="AS1322" s="341">
        <v>-5438.0000000000109</v>
      </c>
      <c r="AT1322" s="341">
        <v>3075.9999999999764</v>
      </c>
      <c r="AU1322" s="341">
        <v>6415.9999999999854</v>
      </c>
      <c r="AV1322" s="341">
        <f ca="1">Calc!AE33</f>
        <v>6415.9999999999854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6">
        <v>26667</v>
      </c>
      <c r="G1323" s="1196">
        <v>26667</v>
      </c>
      <c r="H1323" s="1196">
        <v>26667</v>
      </c>
      <c r="I1323" s="1196">
        <v>26667</v>
      </c>
      <c r="J1323" s="1196">
        <v>26667</v>
      </c>
      <c r="K1323" s="1196">
        <v>26667</v>
      </c>
      <c r="L1323" s="1196">
        <v>26667</v>
      </c>
      <c r="M1323" s="1196">
        <v>26667</v>
      </c>
      <c r="N1323" s="1196">
        <v>26667</v>
      </c>
      <c r="O1323" s="1196">
        <v>26667</v>
      </c>
      <c r="P1323" s="1196">
        <v>26667</v>
      </c>
      <c r="Q1323" s="1196">
        <v>26667</v>
      </c>
      <c r="R1323" s="1196">
        <v>26667</v>
      </c>
      <c r="S1323" s="1196">
        <v>26667</v>
      </c>
      <c r="T1323" s="1196">
        <v>26667</v>
      </c>
      <c r="U1323" s="1196">
        <v>26667</v>
      </c>
      <c r="V1323" s="1196">
        <v>26667</v>
      </c>
      <c r="W1323" s="1196">
        <v>26667</v>
      </c>
      <c r="X1323" s="1196">
        <v>26667</v>
      </c>
      <c r="Y1323" s="1196">
        <v>26667</v>
      </c>
      <c r="Z1323" s="1196">
        <f ca="1">Calc!G34</f>
        <v>26667</v>
      </c>
      <c r="AB1323" s="341">
        <v>28866</v>
      </c>
      <c r="AC1323" s="341">
        <v>28554</v>
      </c>
      <c r="AD1323" s="341">
        <v>28800</v>
      </c>
      <c r="AE1323" s="341">
        <v>29208</v>
      </c>
      <c r="AF1323" s="341">
        <v>29208</v>
      </c>
      <c r="AG1323" s="341">
        <v>29698.000000000004</v>
      </c>
      <c r="AH1323" s="341">
        <v>30726</v>
      </c>
      <c r="AI1323" s="341">
        <v>30998</v>
      </c>
      <c r="AJ1323" s="341">
        <v>30750</v>
      </c>
      <c r="AK1323" s="341">
        <v>30802</v>
      </c>
      <c r="AL1323" s="341">
        <v>30903.999999999996</v>
      </c>
      <c r="AM1323" s="341">
        <v>0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6">
        <v>4000</v>
      </c>
      <c r="G1324" s="1196">
        <v>4000</v>
      </c>
      <c r="H1324" s="1196">
        <v>4000</v>
      </c>
      <c r="I1324" s="1196">
        <v>4000</v>
      </c>
      <c r="J1324" s="1196">
        <v>4000</v>
      </c>
      <c r="K1324" s="1196">
        <v>4000</v>
      </c>
      <c r="L1324" s="1196">
        <v>4000</v>
      </c>
      <c r="M1324" s="1196">
        <v>4000</v>
      </c>
      <c r="N1324" s="1196">
        <v>4000</v>
      </c>
      <c r="O1324" s="1196">
        <v>4000</v>
      </c>
      <c r="P1324" s="1196">
        <v>4000</v>
      </c>
      <c r="Q1324" s="1196">
        <v>4000</v>
      </c>
      <c r="R1324" s="1196">
        <v>4000</v>
      </c>
      <c r="S1324" s="1196">
        <v>4000</v>
      </c>
      <c r="T1324" s="1196">
        <v>4000</v>
      </c>
      <c r="U1324" s="1196">
        <v>4000</v>
      </c>
      <c r="V1324" s="1196">
        <v>4000</v>
      </c>
      <c r="W1324" s="1196">
        <v>4000</v>
      </c>
      <c r="X1324" s="1196">
        <v>4000</v>
      </c>
      <c r="Y1324" s="1196">
        <v>4000</v>
      </c>
      <c r="Z1324" s="1196">
        <f ca="1">Calc!G35</f>
        <v>4000</v>
      </c>
      <c r="AB1324" s="341">
        <v>-12482.000000000007</v>
      </c>
      <c r="AC1324" s="341">
        <v>-13375.000000000004</v>
      </c>
      <c r="AD1324" s="341">
        <v>-12987.5</v>
      </c>
      <c r="AE1324" s="341">
        <v>134.99999999999446</v>
      </c>
      <c r="AF1324" s="341">
        <v>134.99999999999446</v>
      </c>
      <c r="AG1324" s="341">
        <v>-1619.9999999999975</v>
      </c>
      <c r="AH1324" s="341">
        <v>-5460.0000000000009</v>
      </c>
      <c r="AI1324" s="341">
        <v>-7289.9999999999991</v>
      </c>
      <c r="AJ1324" s="341">
        <v>-6960.0000000000009</v>
      </c>
      <c r="AK1324" s="341">
        <v>-524.99999999999864</v>
      </c>
      <c r="AL1324" s="341">
        <v>-1890.0000000000005</v>
      </c>
      <c r="AM1324" s="341">
        <v>-2504.9999999999955</v>
      </c>
      <c r="AN1324" s="341">
        <v>-2466.4999999999964</v>
      </c>
      <c r="AO1324" s="341">
        <v>-2009.999999999998</v>
      </c>
      <c r="AP1324" s="341">
        <v>-1549.9999999999973</v>
      </c>
      <c r="AQ1324" s="341">
        <v>-3740.0000000000018</v>
      </c>
      <c r="AR1324" s="341">
        <v>-3399.9999999999986</v>
      </c>
      <c r="AS1324" s="341">
        <v>-4229.9999999999973</v>
      </c>
      <c r="AT1324" s="341">
        <v>-4801.2000000000016</v>
      </c>
      <c r="AU1324" s="341">
        <v>-4659.9999999999964</v>
      </c>
      <c r="AV1324" s="341">
        <f ca="1">Calc!AE35</f>
        <v>-4659.9999999999964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6">
        <v>2000</v>
      </c>
      <c r="G1325" s="1196">
        <v>2000</v>
      </c>
      <c r="H1325" s="1196">
        <v>2000</v>
      </c>
      <c r="I1325" s="1196">
        <v>2000</v>
      </c>
      <c r="J1325" s="1196">
        <v>2000</v>
      </c>
      <c r="K1325" s="1196">
        <v>2000</v>
      </c>
      <c r="L1325" s="1196">
        <v>2000</v>
      </c>
      <c r="M1325" s="1196">
        <v>2000</v>
      </c>
      <c r="N1325" s="1196">
        <v>2000</v>
      </c>
      <c r="O1325" s="1196">
        <v>2000</v>
      </c>
      <c r="P1325" s="1196">
        <v>2000</v>
      </c>
      <c r="Q1325" s="1196">
        <v>2000</v>
      </c>
      <c r="R1325" s="1196">
        <v>2000</v>
      </c>
      <c r="S1325" s="1196">
        <v>2000</v>
      </c>
      <c r="T1325" s="1196">
        <v>2000</v>
      </c>
      <c r="U1325" s="1196">
        <v>2000</v>
      </c>
      <c r="V1325" s="1196">
        <v>2000</v>
      </c>
      <c r="W1325" s="1196">
        <v>2000</v>
      </c>
      <c r="X1325" s="1196">
        <v>2000</v>
      </c>
      <c r="Y1325" s="1196">
        <v>2000</v>
      </c>
      <c r="Z1325" s="1196">
        <f ca="1">Calc!G36</f>
        <v>2000</v>
      </c>
      <c r="AB1325" s="341">
        <v>2899.9999999999986</v>
      </c>
      <c r="AC1325" s="341">
        <v>4539.7999999999993</v>
      </c>
      <c r="AD1325" s="341">
        <v>4899.7999999999993</v>
      </c>
      <c r="AE1325" s="341">
        <v>4699.9999999999991</v>
      </c>
      <c r="AF1325" s="341">
        <v>4699.9999999999991</v>
      </c>
      <c r="AG1325" s="341">
        <v>4580</v>
      </c>
      <c r="AH1325" s="341">
        <v>4520</v>
      </c>
      <c r="AI1325" s="341">
        <v>4859.9999999999991</v>
      </c>
      <c r="AJ1325" s="341">
        <v>4820</v>
      </c>
      <c r="AK1325" s="341">
        <v>4799.9999999999991</v>
      </c>
      <c r="AL1325" s="341">
        <v>4920</v>
      </c>
      <c r="AM1325" s="341">
        <v>4943.1999999999989</v>
      </c>
      <c r="AN1325" s="341">
        <v>4899.9999999999982</v>
      </c>
      <c r="AO1325" s="341">
        <v>5139.9999999999991</v>
      </c>
      <c r="AP1325" s="341">
        <v>5020</v>
      </c>
      <c r="AQ1325" s="341">
        <v>5639.9999999999991</v>
      </c>
      <c r="AR1325" s="341">
        <v>5699.9999999999991</v>
      </c>
      <c r="AS1325" s="341">
        <v>6119.9999999999991</v>
      </c>
      <c r="AT1325" s="341">
        <v>5899.9999999999991</v>
      </c>
      <c r="AU1325" s="341">
        <v>5779.9999999999991</v>
      </c>
      <c r="AV1325" s="341">
        <f ca="1">Calc!AE36</f>
        <v>5779.9999999999991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6">
        <v>50000</v>
      </c>
      <c r="G1326" s="1196">
        <v>50000</v>
      </c>
      <c r="H1326" s="1196">
        <v>50000</v>
      </c>
      <c r="I1326" s="1196">
        <v>50000</v>
      </c>
      <c r="J1326" s="1196">
        <v>50000</v>
      </c>
      <c r="K1326" s="1196">
        <v>50000</v>
      </c>
      <c r="L1326" s="1196">
        <v>50000</v>
      </c>
      <c r="M1326" s="1196">
        <v>50000</v>
      </c>
      <c r="N1326" s="1196">
        <v>50000</v>
      </c>
      <c r="O1326" s="1196">
        <v>50000</v>
      </c>
      <c r="P1326" s="1196">
        <v>50000</v>
      </c>
      <c r="Q1326" s="1196">
        <v>50000</v>
      </c>
      <c r="R1326" s="1196">
        <v>50000</v>
      </c>
      <c r="S1326" s="1196">
        <v>50000</v>
      </c>
      <c r="T1326" s="1196">
        <v>50000</v>
      </c>
      <c r="U1326" s="1196">
        <v>50000</v>
      </c>
      <c r="V1326" s="1196">
        <v>50000</v>
      </c>
      <c r="W1326" s="1196">
        <v>50000</v>
      </c>
      <c r="X1326" s="1196">
        <v>50000</v>
      </c>
      <c r="Y1326" s="1196">
        <v>50000</v>
      </c>
      <c r="Z1326" s="1196">
        <f ca="1">Calc!G37</f>
        <v>50000</v>
      </c>
      <c r="AB1326" s="341">
        <v>3825.0000000000005</v>
      </c>
      <c r="AC1326" s="341">
        <v>3587.4999999999991</v>
      </c>
      <c r="AD1326" s="341">
        <v>4012.5000000000009</v>
      </c>
      <c r="AE1326" s="341">
        <v>3999.7499999999995</v>
      </c>
      <c r="AF1326" s="341">
        <v>3999.7499999999995</v>
      </c>
      <c r="AG1326" s="341">
        <v>3899.9999999999991</v>
      </c>
      <c r="AH1326" s="341">
        <v>2875.0000000000009</v>
      </c>
      <c r="AI1326" s="341">
        <v>2700</v>
      </c>
      <c r="AJ1326" s="341">
        <v>2800.0000000000005</v>
      </c>
      <c r="AK1326" s="341">
        <v>2529.7499999999995</v>
      </c>
      <c r="AL1326" s="341">
        <v>2849.9999999999991</v>
      </c>
      <c r="AM1326" s="341">
        <v>3474.9999999999991</v>
      </c>
      <c r="AN1326" s="341">
        <v>3224.7500000000005</v>
      </c>
      <c r="AO1326" s="341">
        <v>3449.9999999999995</v>
      </c>
      <c r="AP1326" s="341">
        <v>3112.5000000000005</v>
      </c>
      <c r="AQ1326" s="341">
        <v>2875.0000000000009</v>
      </c>
      <c r="AR1326" s="341">
        <v>2925</v>
      </c>
      <c r="AS1326" s="341">
        <v>2250.0000000000009</v>
      </c>
      <c r="AT1326" s="341">
        <v>2887.5000000000005</v>
      </c>
      <c r="AU1326" s="341">
        <v>3149.9999999999995</v>
      </c>
      <c r="AV1326" s="341">
        <f ca="1">Calc!AE37</f>
        <v>3149.9999999999995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6">
        <v>10000</v>
      </c>
      <c r="G1327" s="1196">
        <v>10000</v>
      </c>
      <c r="H1327" s="1196">
        <v>10000</v>
      </c>
      <c r="I1327" s="1196">
        <v>10000</v>
      </c>
      <c r="J1327" s="1196">
        <v>10000</v>
      </c>
      <c r="K1327" s="1196">
        <v>10000</v>
      </c>
      <c r="L1327" s="1196">
        <v>10000</v>
      </c>
      <c r="M1327" s="1196">
        <v>10000</v>
      </c>
      <c r="N1327" s="1196">
        <v>10000</v>
      </c>
      <c r="O1327" s="1196">
        <v>10000</v>
      </c>
      <c r="P1327" s="1196">
        <v>10000</v>
      </c>
      <c r="Q1327" s="1196">
        <v>10000</v>
      </c>
      <c r="R1327" s="1196">
        <v>10000</v>
      </c>
      <c r="S1327" s="1196">
        <v>10000</v>
      </c>
      <c r="T1327" s="1196">
        <v>10000</v>
      </c>
      <c r="U1327" s="1196">
        <v>10000</v>
      </c>
      <c r="V1327" s="1196">
        <v>10000</v>
      </c>
      <c r="W1327" s="1196">
        <v>10000</v>
      </c>
      <c r="X1327" s="1196">
        <v>10000</v>
      </c>
      <c r="Y1327" s="1196">
        <v>10000</v>
      </c>
      <c r="Z1327" s="1196">
        <f ca="1">Calc!G38</f>
        <v>10000</v>
      </c>
      <c r="AB1327" s="341">
        <v>-300.59999999999962</v>
      </c>
      <c r="AC1327" s="341">
        <v>-105.20999999999977</v>
      </c>
      <c r="AD1327" s="341">
        <v>874.44539999999984</v>
      </c>
      <c r="AE1327" s="341">
        <v>637.57259999999985</v>
      </c>
      <c r="AF1327" s="341">
        <v>637.57259999999985</v>
      </c>
      <c r="AG1327" s="341">
        <v>241.38180000000011</v>
      </c>
      <c r="AH1327" s="341">
        <v>270.54000000000025</v>
      </c>
      <c r="AI1327" s="341">
        <v>240.48000000000022</v>
      </c>
      <c r="AJ1327" s="341">
        <v>-270.53999999999957</v>
      </c>
      <c r="AK1327" s="341">
        <v>-556.11000000000013</v>
      </c>
      <c r="AL1327" s="341">
        <v>1172.3400000000004</v>
      </c>
      <c r="AM1327" s="341">
        <v>1412.82</v>
      </c>
      <c r="AN1327" s="341">
        <v>1785.8646000000001</v>
      </c>
      <c r="AO1327" s="341">
        <v>1763.3196</v>
      </c>
      <c r="AP1327" s="341">
        <v>2037.4668000000001</v>
      </c>
      <c r="AQ1327" s="341">
        <v>1683.3600000000001</v>
      </c>
      <c r="AR1327" s="341">
        <v>1683.0594000000001</v>
      </c>
      <c r="AS1327" s="341">
        <v>1653.3000000000002</v>
      </c>
      <c r="AT1327" s="341">
        <v>1533.06</v>
      </c>
      <c r="AU1327" s="341">
        <v>1533.06</v>
      </c>
      <c r="AV1327" s="341">
        <f ca="1">Calc!AE38</f>
        <v>1533.06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6">
        <v>2000</v>
      </c>
      <c r="G1328" s="1196">
        <v>2000</v>
      </c>
      <c r="H1328" s="1196">
        <v>2000</v>
      </c>
      <c r="I1328" s="1196">
        <v>2000</v>
      </c>
      <c r="J1328" s="1196">
        <v>2000</v>
      </c>
      <c r="K1328" s="1196">
        <v>2000</v>
      </c>
      <c r="L1328" s="1196">
        <v>2000</v>
      </c>
      <c r="M1328" s="1196">
        <v>2000</v>
      </c>
      <c r="N1328" s="1196">
        <v>2000</v>
      </c>
      <c r="O1328" s="1196">
        <v>2000</v>
      </c>
      <c r="P1328" s="1196">
        <v>2000</v>
      </c>
      <c r="Q1328" s="1196">
        <v>2000</v>
      </c>
      <c r="R1328" s="1196">
        <v>2000</v>
      </c>
      <c r="S1328" s="1196">
        <v>2000</v>
      </c>
      <c r="T1328" s="1196">
        <v>2000</v>
      </c>
      <c r="U1328" s="1196">
        <v>2000</v>
      </c>
      <c r="V1328" s="1196">
        <v>2000</v>
      </c>
      <c r="W1328" s="1196">
        <v>2000</v>
      </c>
      <c r="X1328" s="1196">
        <v>2000</v>
      </c>
      <c r="Y1328" s="1196">
        <v>2000</v>
      </c>
      <c r="Z1328" s="1196">
        <f ca="1">Calc!G39</f>
        <v>2000</v>
      </c>
      <c r="AB1328" s="341">
        <v>-1079.9999999999982</v>
      </c>
      <c r="AC1328" s="341">
        <v>-2579.9999999999982</v>
      </c>
      <c r="AD1328" s="341">
        <v>-7100.0000000000082</v>
      </c>
      <c r="AE1328" s="341">
        <v>-4480.0000000000036</v>
      </c>
      <c r="AF1328" s="341">
        <v>-4480.0000000000036</v>
      </c>
      <c r="AG1328" s="341">
        <v>-8480.0000000000036</v>
      </c>
      <c r="AH1328" s="341">
        <v>679.99999999999977</v>
      </c>
      <c r="AI1328" s="341">
        <v>-199.99999999999574</v>
      </c>
      <c r="AJ1328" s="341">
        <v>1690.0000000000048</v>
      </c>
      <c r="AK1328" s="341">
        <v>1230.0000000000041</v>
      </c>
      <c r="AL1328" s="341">
        <v>-130.00000000000256</v>
      </c>
      <c r="AM1328" s="341">
        <v>-190.20000000000437</v>
      </c>
      <c r="AN1328" s="341">
        <v>-600.00000000000136</v>
      </c>
      <c r="AO1328" s="341">
        <v>-890.00000000000057</v>
      </c>
      <c r="AP1328" s="341">
        <v>-1410.0000000000036</v>
      </c>
      <c r="AQ1328" s="341">
        <v>-2149.9999999999986</v>
      </c>
      <c r="AR1328" s="341">
        <v>2789.9999999999991</v>
      </c>
      <c r="AS1328" s="341">
        <v>2240.0000000000018</v>
      </c>
      <c r="AT1328" s="341">
        <v>916.39999999999588</v>
      </c>
      <c r="AU1328" s="341">
        <v>759.99999999999795</v>
      </c>
      <c r="AV1328" s="341">
        <f ca="1">Calc!AE39</f>
        <v>759.99999999999795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6">
        <v>50</v>
      </c>
      <c r="G1329" s="1196">
        <v>50</v>
      </c>
      <c r="H1329" s="1196">
        <v>50</v>
      </c>
      <c r="I1329" s="1196">
        <v>50</v>
      </c>
      <c r="J1329" s="1196">
        <v>50</v>
      </c>
      <c r="K1329" s="1196">
        <v>50</v>
      </c>
      <c r="L1329" s="1196">
        <v>50</v>
      </c>
      <c r="M1329" s="1196">
        <v>50</v>
      </c>
      <c r="N1329" s="1196">
        <v>50</v>
      </c>
      <c r="O1329" s="1196">
        <v>50</v>
      </c>
      <c r="P1329" s="1196">
        <v>50</v>
      </c>
      <c r="Q1329" s="1196">
        <v>50</v>
      </c>
      <c r="R1329" s="1196">
        <v>50</v>
      </c>
      <c r="S1329" s="1196">
        <v>50</v>
      </c>
      <c r="T1329" s="1196">
        <v>50</v>
      </c>
      <c r="U1329" s="1196">
        <v>50</v>
      </c>
      <c r="V1329" s="1196">
        <v>50</v>
      </c>
      <c r="W1329" s="1196">
        <v>50</v>
      </c>
      <c r="X1329" s="1196">
        <v>50</v>
      </c>
      <c r="Y1329" s="1196">
        <v>50</v>
      </c>
      <c r="Z1329" s="1196">
        <f ca="1">Calc!G40</f>
        <v>50</v>
      </c>
      <c r="AB1329" s="341">
        <v>-3903.9999999999964</v>
      </c>
      <c r="AC1329" s="341">
        <v>-5375.9999999999991</v>
      </c>
      <c r="AD1329" s="341">
        <v>-5888.0000000000109</v>
      </c>
      <c r="AE1329" s="341">
        <v>-6079.9999999999955</v>
      </c>
      <c r="AF1329" s="341">
        <v>-6079.9999999999955</v>
      </c>
      <c r="AG1329" s="341">
        <v>-6431.9999999999936</v>
      </c>
      <c r="AH1329" s="341">
        <v>-6368.0000000000064</v>
      </c>
      <c r="AI1329" s="341">
        <v>-5248.0000000000018</v>
      </c>
      <c r="AJ1329" s="341">
        <v>-4992.0000000000073</v>
      </c>
      <c r="AK1329" s="341">
        <v>-4000</v>
      </c>
      <c r="AL1329" s="341">
        <v>-3840.0000000000091</v>
      </c>
      <c r="AM1329" s="341">
        <v>-1600</v>
      </c>
      <c r="AN1329" s="341">
        <v>-1568.0000000000064</v>
      </c>
      <c r="AO1329" s="341">
        <v>-4512.0000000000118</v>
      </c>
      <c r="AP1329" s="341">
        <v>-4959.9999999999909</v>
      </c>
      <c r="AQ1329" s="341">
        <v>-7872.0000000000027</v>
      </c>
      <c r="AR1329" s="341">
        <v>-7520.0000000000045</v>
      </c>
      <c r="AS1329" s="341">
        <v>-8000</v>
      </c>
      <c r="AT1329" s="341">
        <v>-7648.0000000000018</v>
      </c>
      <c r="AU1329" s="341">
        <v>-8224</v>
      </c>
      <c r="AV1329" s="341">
        <f ca="1">Calc!AE40</f>
        <v>-8224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6">
        <v>2500</v>
      </c>
      <c r="G1330" s="1196">
        <v>2500</v>
      </c>
      <c r="H1330" s="1196">
        <v>2500</v>
      </c>
      <c r="I1330" s="1196">
        <v>2500</v>
      </c>
      <c r="J1330" s="1196">
        <v>2500</v>
      </c>
      <c r="K1330" s="1196">
        <v>2500</v>
      </c>
      <c r="L1330" s="1196">
        <v>2500</v>
      </c>
      <c r="M1330" s="1196">
        <v>2500</v>
      </c>
      <c r="N1330" s="1196">
        <v>2500</v>
      </c>
      <c r="O1330" s="1196">
        <v>2500</v>
      </c>
      <c r="P1330" s="1196">
        <v>2500</v>
      </c>
      <c r="Q1330" s="1196">
        <v>2500</v>
      </c>
      <c r="R1330" s="1196">
        <v>2500</v>
      </c>
      <c r="S1330" s="1196">
        <v>2500</v>
      </c>
      <c r="T1330" s="1196">
        <v>2500</v>
      </c>
      <c r="U1330" s="1196">
        <v>2500</v>
      </c>
      <c r="V1330" s="1196">
        <v>2500</v>
      </c>
      <c r="W1330" s="1196">
        <v>2500</v>
      </c>
      <c r="X1330" s="1196">
        <v>2500</v>
      </c>
      <c r="Y1330" s="1196">
        <v>2500</v>
      </c>
      <c r="Z1330" s="1196">
        <f ca="1">Calc!G41</f>
        <v>2500</v>
      </c>
      <c r="AB1330" s="341">
        <v>12700.000000000004</v>
      </c>
      <c r="AC1330" s="341">
        <v>13175.000000000011</v>
      </c>
      <c r="AD1330" s="341">
        <v>14300.000000000011</v>
      </c>
      <c r="AE1330" s="341">
        <v>14075.000000000004</v>
      </c>
      <c r="AF1330" s="341">
        <v>14075.000000000004</v>
      </c>
      <c r="AG1330" s="341">
        <v>15650.000000000005</v>
      </c>
      <c r="AH1330" s="341">
        <v>16025.000000000005</v>
      </c>
      <c r="AI1330" s="341">
        <v>16600.000000000007</v>
      </c>
      <c r="AJ1330" s="341">
        <v>14325.000000000004</v>
      </c>
      <c r="AK1330" s="341">
        <v>14350.000000000009</v>
      </c>
      <c r="AL1330" s="341">
        <v>15800.000000000011</v>
      </c>
      <c r="AM1330" s="341">
        <v>18625</v>
      </c>
      <c r="AN1330" s="341">
        <v>17300.000000000011</v>
      </c>
      <c r="AO1330" s="341">
        <v>15325.000000000004</v>
      </c>
      <c r="AP1330" s="341">
        <v>16475.000000000007</v>
      </c>
      <c r="AQ1330" s="341">
        <v>17300.000000000011</v>
      </c>
      <c r="AR1330" s="341">
        <v>17375</v>
      </c>
      <c r="AS1330" s="341">
        <v>20675.000000000011</v>
      </c>
      <c r="AT1330" s="341">
        <v>22625</v>
      </c>
      <c r="AU1330" s="341">
        <v>22075.000000000004</v>
      </c>
      <c r="AV1330" s="341">
        <f ca="1">Calc!AE41</f>
        <v>22075.000000000004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6">
        <v>23000</v>
      </c>
      <c r="G1331" s="1196">
        <v>23000</v>
      </c>
      <c r="H1331" s="1196">
        <v>23000</v>
      </c>
      <c r="I1331" s="1196">
        <v>23000</v>
      </c>
      <c r="J1331" s="1196">
        <v>23000</v>
      </c>
      <c r="K1331" s="1196">
        <v>23000</v>
      </c>
      <c r="L1331" s="1196">
        <v>23000</v>
      </c>
      <c r="M1331" s="1196">
        <v>23000</v>
      </c>
      <c r="N1331" s="1196">
        <v>23000</v>
      </c>
      <c r="O1331" s="1196">
        <v>23000</v>
      </c>
      <c r="P1331" s="1196">
        <v>23000</v>
      </c>
      <c r="Q1331" s="1196">
        <v>23000</v>
      </c>
      <c r="R1331" s="1196">
        <v>23000</v>
      </c>
      <c r="S1331" s="1196">
        <v>23000</v>
      </c>
      <c r="T1331" s="1196">
        <v>23000</v>
      </c>
      <c r="U1331" s="1196">
        <v>23000</v>
      </c>
      <c r="V1331" s="1196">
        <v>23000</v>
      </c>
      <c r="W1331" s="1196">
        <v>23000</v>
      </c>
      <c r="X1331" s="1196">
        <v>23000</v>
      </c>
      <c r="Y1331" s="1196">
        <v>23000</v>
      </c>
      <c r="Z1331" s="1196">
        <f ca="1">Calc!G42</f>
        <v>23000</v>
      </c>
      <c r="AB1331" s="341">
        <v>5666</v>
      </c>
      <c r="AC1331" s="341">
        <v>5331.0000000000009</v>
      </c>
      <c r="AD1331" s="341">
        <v>5361.0000000000009</v>
      </c>
      <c r="AE1331" s="341">
        <v>5421.0000000000009</v>
      </c>
      <c r="AF1331" s="341">
        <v>5421.0000000000009</v>
      </c>
      <c r="AG1331" s="341">
        <v>5401.0000000000018</v>
      </c>
      <c r="AH1331" s="341">
        <v>5451.0000000000009</v>
      </c>
      <c r="AI1331" s="341">
        <v>5321.0000000000018</v>
      </c>
      <c r="AJ1331" s="341">
        <v>5491.0000000000018</v>
      </c>
      <c r="AK1331" s="341">
        <v>5381</v>
      </c>
      <c r="AL1331" s="341">
        <v>5771.0000000000009</v>
      </c>
      <c r="AM1331" s="341">
        <v>5961</v>
      </c>
      <c r="AN1331" s="341">
        <v>5981.0000000000018</v>
      </c>
      <c r="AO1331" s="341">
        <v>5891</v>
      </c>
      <c r="AP1331" s="341">
        <v>6111.0000000000009</v>
      </c>
      <c r="AQ1331" s="341">
        <v>5911.0000000000018</v>
      </c>
      <c r="AR1331" s="341">
        <v>6111.0000000000009</v>
      </c>
      <c r="AS1331" s="341">
        <v>6121</v>
      </c>
      <c r="AT1331" s="341">
        <v>5956.0000000000009</v>
      </c>
      <c r="AU1331" s="341">
        <v>6161.0000000000018</v>
      </c>
      <c r="AV1331" s="341">
        <f ca="1">Calc!AE42</f>
        <v>6161.0000000000018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6">
        <v>16000</v>
      </c>
      <c r="G1332" s="1196">
        <v>16000</v>
      </c>
      <c r="H1332" s="1196">
        <v>16000</v>
      </c>
      <c r="I1332" s="1196">
        <v>16000</v>
      </c>
      <c r="J1332" s="1196">
        <v>16000</v>
      </c>
      <c r="K1332" s="1196">
        <v>16000</v>
      </c>
      <c r="L1332" s="1196">
        <v>16000</v>
      </c>
      <c r="M1332" s="1196">
        <v>16000</v>
      </c>
      <c r="N1332" s="1196">
        <v>16000</v>
      </c>
      <c r="O1332" s="1196">
        <v>16000</v>
      </c>
      <c r="P1332" s="1196">
        <v>16000</v>
      </c>
      <c r="Q1332" s="1196">
        <v>16000</v>
      </c>
      <c r="R1332" s="1196">
        <v>16000</v>
      </c>
      <c r="S1332" s="1196">
        <v>16000</v>
      </c>
      <c r="T1332" s="1196">
        <v>16000</v>
      </c>
      <c r="U1332" s="1196">
        <v>16000</v>
      </c>
      <c r="V1332" s="1196">
        <v>16000</v>
      </c>
      <c r="W1332" s="1196">
        <v>16000</v>
      </c>
      <c r="X1332" s="1196">
        <v>16000</v>
      </c>
      <c r="Y1332" s="1196">
        <v>16000</v>
      </c>
      <c r="Z1332" s="1196">
        <f ca="1">Calc!G43</f>
        <v>16000</v>
      </c>
      <c r="AB1332" s="341">
        <v>10852.599899999999</v>
      </c>
      <c r="AC1332" s="341">
        <v>10373.499900000003</v>
      </c>
      <c r="AD1332" s="341">
        <v>10462.599900000003</v>
      </c>
      <c r="AE1332" s="341">
        <v>6472.599900000002</v>
      </c>
      <c r="AF1332" s="341">
        <v>6472.599900000002</v>
      </c>
      <c r="AG1332" s="341">
        <v>7342.5999000000002</v>
      </c>
      <c r="AH1332" s="341">
        <v>5542.5999000000011</v>
      </c>
      <c r="AI1332" s="341">
        <v>6052.5999000000002</v>
      </c>
      <c r="AJ1332" s="341">
        <v>5182.5999000000029</v>
      </c>
      <c r="AK1332" s="341">
        <v>4852.5998999999993</v>
      </c>
      <c r="AL1332" s="341">
        <v>6352.5998999999993</v>
      </c>
      <c r="AM1332" s="341">
        <v>7522.5999000000011</v>
      </c>
      <c r="AN1332" s="341">
        <v>7432.5999000000029</v>
      </c>
      <c r="AO1332" s="341">
        <v>7882.5998999999993</v>
      </c>
      <c r="AP1332" s="341">
        <v>7762.5999000000011</v>
      </c>
      <c r="AQ1332" s="341">
        <v>7402.5998999999983</v>
      </c>
      <c r="AR1332" s="341">
        <v>7942.5999000000029</v>
      </c>
      <c r="AS1332" s="341">
        <v>8902.5998999999993</v>
      </c>
      <c r="AT1332" s="341">
        <v>8707.5998999999993</v>
      </c>
      <c r="AU1332" s="341">
        <v>8872.5998999999993</v>
      </c>
      <c r="AV1332" s="341">
        <f ca="1">Calc!AE43</f>
        <v>8872.5998999999993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6">
        <v>10</v>
      </c>
      <c r="G1333" s="1196">
        <v>10</v>
      </c>
      <c r="H1333" s="1196">
        <v>10</v>
      </c>
      <c r="I1333" s="1196">
        <v>10</v>
      </c>
      <c r="J1333" s="1196">
        <v>10</v>
      </c>
      <c r="K1333" s="1196">
        <v>10</v>
      </c>
      <c r="L1333" s="1196">
        <v>10</v>
      </c>
      <c r="M1333" s="1196">
        <v>10</v>
      </c>
      <c r="N1333" s="1196">
        <v>10</v>
      </c>
      <c r="O1333" s="1196">
        <v>10</v>
      </c>
      <c r="P1333" s="1196">
        <v>10</v>
      </c>
      <c r="Q1333" s="1196">
        <v>10</v>
      </c>
      <c r="R1333" s="1196">
        <v>10</v>
      </c>
      <c r="S1333" s="1196">
        <v>10</v>
      </c>
      <c r="T1333" s="1196">
        <v>10</v>
      </c>
      <c r="U1333" s="1196">
        <v>10</v>
      </c>
      <c r="V1333" s="1196">
        <v>10</v>
      </c>
      <c r="W1333" s="1196">
        <v>10</v>
      </c>
      <c r="X1333" s="1196">
        <v>10</v>
      </c>
      <c r="Y1333" s="1196">
        <v>10</v>
      </c>
      <c r="Z1333" s="1196">
        <f ca="1">Calc!G44</f>
        <v>10</v>
      </c>
      <c r="AB1333" s="341">
        <v>996.45000000000266</v>
      </c>
      <c r="AC1333" s="341">
        <v>243.75</v>
      </c>
      <c r="AD1333" s="341">
        <v>461.8380000000127</v>
      </c>
      <c r="AE1333" s="341">
        <v>1617.251999999994</v>
      </c>
      <c r="AF1333" s="341">
        <v>1617.251999999994</v>
      </c>
      <c r="AG1333" s="341">
        <v>3911.7000000000116</v>
      </c>
      <c r="AH1333" s="341">
        <v>-4941.3000000000065</v>
      </c>
      <c r="AI1333" s="341">
        <v>-6918.600000000004</v>
      </c>
      <c r="AJ1333" s="341">
        <v>-6111.3000000000065</v>
      </c>
      <c r="AK1333" s="341">
        <v>-4308.7200000000012</v>
      </c>
      <c r="AL1333" s="341">
        <v>23.400000000000887</v>
      </c>
      <c r="AM1333" s="341">
        <v>2416.7519999999986</v>
      </c>
      <c r="AN1333" s="341">
        <v>631.80000000000177</v>
      </c>
      <c r="AO1333" s="341">
        <v>-62.399999999987585</v>
      </c>
      <c r="AP1333" s="341">
        <v>-1793.9999999999868</v>
      </c>
      <c r="AQ1333" s="341">
        <v>-4863.2999999999884</v>
      </c>
      <c r="AR1333" s="341">
        <v>-5085.6000000000076</v>
      </c>
      <c r="AS1333" s="341">
        <v>-5405.4000000000051</v>
      </c>
      <c r="AT1333" s="341">
        <v>-13447.200000000008</v>
      </c>
      <c r="AU1333" s="341">
        <v>-24183.899999999998</v>
      </c>
      <c r="AV1333" s="341">
        <f ca="1">Calc!AE44</f>
        <v>-24183.899999999998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6">
        <v>5500</v>
      </c>
      <c r="G1334" s="1196">
        <v>5500</v>
      </c>
      <c r="H1334" s="1196">
        <v>5500</v>
      </c>
      <c r="I1334" s="1196">
        <v>5500</v>
      </c>
      <c r="J1334" s="1196">
        <v>5500</v>
      </c>
      <c r="K1334" s="1196">
        <v>5500</v>
      </c>
      <c r="L1334" s="1196">
        <v>5500</v>
      </c>
      <c r="M1334" s="1196">
        <v>5500</v>
      </c>
      <c r="N1334" s="1196">
        <v>5500</v>
      </c>
      <c r="O1334" s="1196">
        <v>5500</v>
      </c>
      <c r="P1334" s="1196">
        <v>5500</v>
      </c>
      <c r="Q1334" s="1196">
        <v>5500</v>
      </c>
      <c r="R1334" s="1196">
        <v>5500</v>
      </c>
      <c r="S1334" s="1196">
        <v>5500</v>
      </c>
      <c r="T1334" s="1196">
        <v>5500</v>
      </c>
      <c r="U1334" s="1196">
        <v>5500</v>
      </c>
      <c r="V1334" s="1196">
        <v>5500</v>
      </c>
      <c r="W1334" s="1196">
        <v>5500</v>
      </c>
      <c r="X1334" s="1196">
        <v>5500</v>
      </c>
      <c r="Y1334" s="1196">
        <v>5500</v>
      </c>
      <c r="Z1334" s="1196">
        <f ca="1">Calc!G45</f>
        <v>5500</v>
      </c>
      <c r="AB1334" s="341">
        <v>3885.000000000005</v>
      </c>
      <c r="AC1334" s="341">
        <v>4209.4000000000024</v>
      </c>
      <c r="AD1334" s="341">
        <v>3356.2500000000027</v>
      </c>
      <c r="AE1334" s="341">
        <v>6829.9999999999982</v>
      </c>
      <c r="AF1334" s="341">
        <v>6829.9999999999982</v>
      </c>
      <c r="AG1334" s="341">
        <v>9454.9999999999982</v>
      </c>
      <c r="AH1334" s="341">
        <v>6015.0000000000009</v>
      </c>
      <c r="AI1334" s="341">
        <v>4564.9999999999982</v>
      </c>
      <c r="AJ1334" s="341">
        <v>4195.0000000000073</v>
      </c>
      <c r="AK1334" s="341">
        <v>4799.9999999999973</v>
      </c>
      <c r="AL1334" s="341">
        <v>8390</v>
      </c>
      <c r="AM1334" s="341">
        <v>10422.5</v>
      </c>
      <c r="AN1334" s="341">
        <v>8715.0000000000036</v>
      </c>
      <c r="AO1334" s="341">
        <v>8130.00000000001</v>
      </c>
      <c r="AP1334" s="341">
        <v>6219.9999999999991</v>
      </c>
      <c r="AQ1334" s="341">
        <v>234.99999999999943</v>
      </c>
      <c r="AR1334" s="341">
        <v>-1614.999999999995</v>
      </c>
      <c r="AS1334" s="341">
        <v>-6385.0000000000055</v>
      </c>
      <c r="AT1334" s="341">
        <v>-5579.9999999999982</v>
      </c>
      <c r="AU1334" s="341">
        <v>-5864.9999999999945</v>
      </c>
      <c r="AV1334" s="341">
        <f ca="1">Calc!AE45</f>
        <v>-5864.9999999999945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6">
        <v>3000</v>
      </c>
      <c r="G1335" s="1196">
        <v>3000</v>
      </c>
      <c r="H1335" s="1196">
        <v>3000</v>
      </c>
      <c r="I1335" s="1196">
        <v>3000</v>
      </c>
      <c r="J1335" s="1196">
        <v>3000</v>
      </c>
      <c r="K1335" s="1196">
        <v>3000</v>
      </c>
      <c r="L1335" s="1196">
        <v>3000</v>
      </c>
      <c r="M1335" s="1196">
        <v>3000</v>
      </c>
      <c r="N1335" s="1196">
        <v>3000</v>
      </c>
      <c r="O1335" s="1196">
        <v>3000</v>
      </c>
      <c r="P1335" s="1196">
        <v>3000</v>
      </c>
      <c r="Q1335" s="1196">
        <v>3000</v>
      </c>
      <c r="R1335" s="1196">
        <v>3000</v>
      </c>
      <c r="S1335" s="1196">
        <v>3000</v>
      </c>
      <c r="T1335" s="1196">
        <v>3000</v>
      </c>
      <c r="U1335" s="1196">
        <v>3000</v>
      </c>
      <c r="V1335" s="1196">
        <v>3000</v>
      </c>
      <c r="W1335" s="1196">
        <v>3000</v>
      </c>
      <c r="X1335" s="1196">
        <v>3000</v>
      </c>
      <c r="Y1335" s="1196">
        <v>3000</v>
      </c>
      <c r="Z1335" s="1196">
        <f ca="1">Calc!G46</f>
        <v>3000</v>
      </c>
      <c r="AB1335" s="341">
        <v>2397.0694999999982</v>
      </c>
      <c r="AC1335" s="341">
        <v>2134.5694999999982</v>
      </c>
      <c r="AD1335" s="341">
        <v>2362.0695000000001</v>
      </c>
      <c r="AE1335" s="341">
        <v>2362.0695000000001</v>
      </c>
      <c r="AF1335" s="341">
        <v>2362.0695000000001</v>
      </c>
      <c r="AG1335" s="341">
        <v>2327.0694999999996</v>
      </c>
      <c r="AH1335" s="341">
        <v>2029.5694999999992</v>
      </c>
      <c r="AI1335" s="341">
        <v>2379.5694999999992</v>
      </c>
      <c r="AJ1335" s="341">
        <v>2519.5694999999987</v>
      </c>
      <c r="AK1335" s="341">
        <v>2309.5694999999982</v>
      </c>
      <c r="AL1335" s="341">
        <v>2712.0695000000001</v>
      </c>
      <c r="AM1335" s="341">
        <v>3149.5695000000001</v>
      </c>
      <c r="AN1335" s="341">
        <v>2974.5695000000001</v>
      </c>
      <c r="AO1335" s="341">
        <v>2974.5695000000001</v>
      </c>
      <c r="AP1335" s="341">
        <v>2694.5694999999987</v>
      </c>
      <c r="AQ1335" s="341">
        <v>3184.5694999999982</v>
      </c>
      <c r="AR1335" s="341">
        <v>3044.5694999999987</v>
      </c>
      <c r="AS1335" s="341">
        <v>2817.0694999999992</v>
      </c>
      <c r="AT1335" s="341">
        <v>3132.0694999999987</v>
      </c>
      <c r="AU1335" s="341">
        <v>2817.0694999999992</v>
      </c>
      <c r="AV1335" s="341">
        <f ca="1">Calc!AE46</f>
        <v>2817.0694999999992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6">
        <v>18087</v>
      </c>
      <c r="G1336" s="1196">
        <v>18087</v>
      </c>
      <c r="H1336" s="1196">
        <v>18087</v>
      </c>
      <c r="I1336" s="1196">
        <v>18087</v>
      </c>
      <c r="J1336" s="1196">
        <v>18087</v>
      </c>
      <c r="K1336" s="1196">
        <v>18087</v>
      </c>
      <c r="L1336" s="1196">
        <v>18087</v>
      </c>
      <c r="M1336" s="1196">
        <v>18087</v>
      </c>
      <c r="N1336" s="1196">
        <v>18087</v>
      </c>
      <c r="O1336" s="1196">
        <v>18087</v>
      </c>
      <c r="P1336" s="1196">
        <v>18087</v>
      </c>
      <c r="Q1336" s="1196">
        <v>18087</v>
      </c>
      <c r="R1336" s="1196">
        <v>18087</v>
      </c>
      <c r="S1336" s="1196">
        <v>18087</v>
      </c>
      <c r="T1336" s="1196">
        <v>18087</v>
      </c>
      <c r="U1336" s="1196">
        <v>18087</v>
      </c>
      <c r="V1336" s="1196">
        <v>18087</v>
      </c>
      <c r="W1336" s="1196">
        <v>18087</v>
      </c>
      <c r="X1336" s="1196">
        <v>18087</v>
      </c>
      <c r="Y1336" s="1196">
        <v>18087</v>
      </c>
      <c r="Z1336" s="1196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6">
        <v>350</v>
      </c>
      <c r="G1337" s="1196">
        <v>350</v>
      </c>
      <c r="H1337" s="1196">
        <v>350</v>
      </c>
      <c r="I1337" s="1196">
        <v>350</v>
      </c>
      <c r="J1337" s="1196">
        <v>350</v>
      </c>
      <c r="K1337" s="1196">
        <v>350</v>
      </c>
      <c r="L1337" s="1196">
        <v>350</v>
      </c>
      <c r="M1337" s="1196">
        <v>350</v>
      </c>
      <c r="N1337" s="1196">
        <v>350</v>
      </c>
      <c r="O1337" s="1196">
        <v>350</v>
      </c>
      <c r="P1337" s="1196">
        <v>350</v>
      </c>
      <c r="Q1337" s="1196">
        <v>350</v>
      </c>
      <c r="R1337" s="1196">
        <v>350</v>
      </c>
      <c r="S1337" s="1196">
        <v>350</v>
      </c>
      <c r="T1337" s="1196">
        <v>350</v>
      </c>
      <c r="U1337" s="1196">
        <v>350</v>
      </c>
      <c r="V1337" s="1196">
        <v>350</v>
      </c>
      <c r="W1337" s="1196">
        <v>350</v>
      </c>
      <c r="X1337" s="1196">
        <v>350</v>
      </c>
      <c r="Y1337" s="1196">
        <v>350</v>
      </c>
      <c r="Z1337" s="1196">
        <f ca="1">Calc!G48</f>
        <v>350</v>
      </c>
      <c r="AB1337" s="341">
        <v>-10677.999999999996</v>
      </c>
      <c r="AC1337" s="341">
        <v>-9882.0000000000055</v>
      </c>
      <c r="AD1337" s="341">
        <v>-9264.1000000000076</v>
      </c>
      <c r="AE1337" s="341">
        <v>-7612</v>
      </c>
      <c r="AF1337" s="341">
        <v>-7612</v>
      </c>
      <c r="AG1337" s="341">
        <v>-6994.0000000000055</v>
      </c>
      <c r="AH1337" s="341">
        <v>-7606.0000000000055</v>
      </c>
      <c r="AI1337" s="341">
        <v>-8362</v>
      </c>
      <c r="AJ1337" s="341">
        <v>-8820.5199999999986</v>
      </c>
      <c r="AK1337" s="341">
        <v>-10446.000000000004</v>
      </c>
      <c r="AL1337" s="341">
        <v>-8238</v>
      </c>
      <c r="AM1337" s="341">
        <v>-7632.02</v>
      </c>
      <c r="AN1337" s="341">
        <v>-8648.0000000000018</v>
      </c>
      <c r="AO1337" s="341">
        <v>-9238</v>
      </c>
      <c r="AP1337" s="341">
        <v>-9980.0000000000073</v>
      </c>
      <c r="AQ1337" s="341">
        <v>-17889.999999999996</v>
      </c>
      <c r="AR1337" s="341">
        <v>-16094.000000000005</v>
      </c>
      <c r="AS1337" s="341">
        <v>-22674</v>
      </c>
      <c r="AT1337" s="341">
        <v>-20676</v>
      </c>
      <c r="AU1337" s="341">
        <v>-20734.000000000004</v>
      </c>
      <c r="AV1337" s="341">
        <f ca="1">Calc!AE48</f>
        <v>-20734.000000000004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6">
        <v>1500</v>
      </c>
      <c r="G1338" s="1196">
        <v>1500</v>
      </c>
      <c r="H1338" s="1196">
        <v>1500</v>
      </c>
      <c r="I1338" s="1196">
        <v>1500</v>
      </c>
      <c r="J1338" s="1196">
        <v>1500</v>
      </c>
      <c r="K1338" s="1196">
        <v>1500</v>
      </c>
      <c r="L1338" s="1196">
        <v>1500</v>
      </c>
      <c r="M1338" s="1196">
        <v>1500</v>
      </c>
      <c r="N1338" s="1196">
        <v>1500</v>
      </c>
      <c r="O1338" s="1196">
        <v>1500</v>
      </c>
      <c r="P1338" s="1196">
        <v>1500</v>
      </c>
      <c r="Q1338" s="1196">
        <v>1500</v>
      </c>
      <c r="R1338" s="1196">
        <v>1500</v>
      </c>
      <c r="S1338" s="1196">
        <v>1500</v>
      </c>
      <c r="T1338" s="1196">
        <v>1500</v>
      </c>
      <c r="U1338" s="1196">
        <v>1500</v>
      </c>
      <c r="V1338" s="1196">
        <v>1500</v>
      </c>
      <c r="W1338" s="1196">
        <v>1500</v>
      </c>
      <c r="X1338" s="1196">
        <v>1500</v>
      </c>
      <c r="Y1338" s="1196">
        <v>1500</v>
      </c>
      <c r="Z1338" s="1196">
        <f ca="1">Calc!G49</f>
        <v>1500</v>
      </c>
      <c r="AB1338" s="341">
        <v>-157.50000000000063</v>
      </c>
      <c r="AC1338" s="341">
        <v>-302.50000000000023</v>
      </c>
      <c r="AD1338" s="341">
        <v>-64.000000000000057</v>
      </c>
      <c r="AE1338" s="341">
        <v>-363.75000000000136</v>
      </c>
      <c r="AF1338" s="341">
        <v>-363.75000000000136</v>
      </c>
      <c r="AG1338" s="341">
        <v>-415.00000000000091</v>
      </c>
      <c r="AH1338" s="341">
        <v>-365.00000000000023</v>
      </c>
      <c r="AI1338" s="341">
        <v>-395.00000000000136</v>
      </c>
      <c r="AJ1338" s="341">
        <v>-235.00000000000119</v>
      </c>
      <c r="AK1338" s="341">
        <v>-312.5</v>
      </c>
      <c r="AL1338" s="341">
        <v>-322.00000000000097</v>
      </c>
      <c r="AM1338" s="341">
        <v>269.99999999999955</v>
      </c>
      <c r="AN1338" s="341">
        <v>383.99999999999858</v>
      </c>
      <c r="AO1338" s="341">
        <v>359.99999999999943</v>
      </c>
      <c r="AP1338" s="341">
        <v>424.99999999999892</v>
      </c>
      <c r="AQ1338" s="341">
        <v>449.99999999999932</v>
      </c>
      <c r="AR1338" s="341">
        <v>419.99999999999994</v>
      </c>
      <c r="AS1338" s="341">
        <v>469.99999999999886</v>
      </c>
      <c r="AT1338" s="341">
        <v>277.49999999999989</v>
      </c>
      <c r="AU1338" s="341">
        <v>383.24999999999852</v>
      </c>
      <c r="AV1338" s="341">
        <f ca="1">Calc!AE49</f>
        <v>383.24999999999852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6">
        <v>13000</v>
      </c>
      <c r="G1339" s="1196">
        <v>13000</v>
      </c>
      <c r="H1339" s="1196">
        <v>13000</v>
      </c>
      <c r="I1339" s="1196">
        <v>13000</v>
      </c>
      <c r="J1339" s="1196">
        <v>13000</v>
      </c>
      <c r="K1339" s="1196">
        <v>13000</v>
      </c>
      <c r="L1339" s="1196">
        <v>13000</v>
      </c>
      <c r="M1339" s="1196">
        <v>13000</v>
      </c>
      <c r="N1339" s="1196">
        <v>13000</v>
      </c>
      <c r="O1339" s="1196">
        <v>13000</v>
      </c>
      <c r="P1339" s="1196">
        <v>13000</v>
      </c>
      <c r="Q1339" s="1196">
        <v>13000</v>
      </c>
      <c r="R1339" s="1196">
        <v>13000</v>
      </c>
      <c r="S1339" s="1196">
        <v>13000</v>
      </c>
      <c r="T1339" s="1196">
        <v>13000</v>
      </c>
      <c r="U1339" s="1196">
        <v>13000</v>
      </c>
      <c r="V1339" s="1196">
        <v>13000</v>
      </c>
      <c r="W1339" s="1196">
        <v>13000</v>
      </c>
      <c r="X1339" s="1196">
        <v>13000</v>
      </c>
      <c r="Y1339" s="1196">
        <v>13000</v>
      </c>
      <c r="Z1339" s="1196">
        <f ca="1">Calc!G50</f>
        <v>13000</v>
      </c>
      <c r="AB1339" s="341">
        <v>15600.000000000009</v>
      </c>
      <c r="AC1339" s="341">
        <v>16199.999999999975</v>
      </c>
      <c r="AD1339" s="341">
        <v>12000</v>
      </c>
      <c r="AE1339" s="341">
        <v>9600.0000000000091</v>
      </c>
      <c r="AF1339" s="341">
        <v>9600.0000000000091</v>
      </c>
      <c r="AG1339" s="341">
        <v>12600.000000000009</v>
      </c>
      <c r="AH1339" s="341">
        <v>7799.9999999999827</v>
      </c>
      <c r="AI1339" s="341">
        <v>9000</v>
      </c>
      <c r="AJ1339" s="341">
        <v>8399.9999999999909</v>
      </c>
      <c r="AK1339" s="341">
        <v>8399.9999999999909</v>
      </c>
      <c r="AL1339" s="341">
        <v>11399.999999999991</v>
      </c>
      <c r="AM1339" s="341">
        <v>15600.000000000009</v>
      </c>
      <c r="AN1339" s="341">
        <v>15000</v>
      </c>
      <c r="AO1339" s="341">
        <v>8399.9999999999909</v>
      </c>
      <c r="AP1339" s="341">
        <v>-202.00000000000287</v>
      </c>
      <c r="AQ1339" s="341">
        <v>0</v>
      </c>
      <c r="AR1339" s="341">
        <v>0</v>
      </c>
      <c r="AS1339" s="341">
        <v>100.99999999999426</v>
      </c>
      <c r="AT1339" s="341">
        <v>403.99999999999858</v>
      </c>
      <c r="AU1339" s="341">
        <v>505</v>
      </c>
      <c r="AV1339" s="341">
        <f ca="1">Calc!AE50</f>
        <v>505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6">
        <v>5000</v>
      </c>
      <c r="G1340" s="1196">
        <v>5000</v>
      </c>
      <c r="H1340" s="1196">
        <v>5000</v>
      </c>
      <c r="I1340" s="1196">
        <v>5000</v>
      </c>
      <c r="J1340" s="1196">
        <v>5000</v>
      </c>
      <c r="K1340" s="1196">
        <v>5000</v>
      </c>
      <c r="L1340" s="1196">
        <v>5000</v>
      </c>
      <c r="M1340" s="1196">
        <v>5000</v>
      </c>
      <c r="N1340" s="1196">
        <v>5000</v>
      </c>
      <c r="O1340" s="1196">
        <v>5000</v>
      </c>
      <c r="P1340" s="1196">
        <v>5000</v>
      </c>
      <c r="Q1340" s="1196">
        <v>5000</v>
      </c>
      <c r="R1340" s="1196">
        <v>5000</v>
      </c>
      <c r="S1340" s="1196">
        <v>5000</v>
      </c>
      <c r="T1340" s="1196">
        <v>5000</v>
      </c>
      <c r="U1340" s="1196">
        <v>5000</v>
      </c>
      <c r="V1340" s="1196">
        <v>5000</v>
      </c>
      <c r="W1340" s="1196">
        <v>5000</v>
      </c>
      <c r="X1340" s="1196">
        <v>5000</v>
      </c>
      <c r="Y1340" s="1196">
        <v>5000</v>
      </c>
      <c r="Z1340" s="1196">
        <f ca="1">Calc!G51</f>
        <v>5000</v>
      </c>
      <c r="AB1340" s="341">
        <v>11199.999999999993</v>
      </c>
      <c r="AC1340" s="341">
        <v>11299.999999999991</v>
      </c>
      <c r="AD1340" s="341">
        <v>9599.9999999999909</v>
      </c>
      <c r="AE1340" s="341">
        <v>10649.999999999995</v>
      </c>
      <c r="AF1340" s="341">
        <v>10649.999999999995</v>
      </c>
      <c r="AG1340" s="341">
        <v>10399.999999999991</v>
      </c>
      <c r="AH1340" s="341">
        <v>149.99999999999682</v>
      </c>
      <c r="AI1340" s="341">
        <v>849.99999999999966</v>
      </c>
      <c r="AJ1340" s="341">
        <v>800.00000000000068</v>
      </c>
      <c r="AK1340" s="341">
        <v>1600.5000000000002</v>
      </c>
      <c r="AL1340" s="341">
        <v>149.99999999999682</v>
      </c>
      <c r="AM1340" s="341">
        <v>449.99999999999932</v>
      </c>
      <c r="AN1340" s="341">
        <v>175.00000000000071</v>
      </c>
      <c r="AO1340" s="341">
        <v>149.99999999999682</v>
      </c>
      <c r="AP1340" s="341">
        <v>1250</v>
      </c>
      <c r="AQ1340" s="341">
        <v>499.99999999999824</v>
      </c>
      <c r="AR1340" s="341">
        <v>650.00000000000387</v>
      </c>
      <c r="AS1340" s="341">
        <v>1699.9999999999993</v>
      </c>
      <c r="AT1340" s="341">
        <v>2199.9999999999977</v>
      </c>
      <c r="AU1340" s="341">
        <v>3099.9999999999959</v>
      </c>
      <c r="AV1340" s="341">
        <f ca="1">Calc!AE51</f>
        <v>3099.9999999999959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6">
        <v>3000</v>
      </c>
      <c r="G1341" s="1196">
        <v>3000</v>
      </c>
      <c r="H1341" s="1196">
        <v>3000</v>
      </c>
      <c r="I1341" s="1196">
        <v>3000</v>
      </c>
      <c r="J1341" s="1196">
        <v>3000</v>
      </c>
      <c r="K1341" s="1196">
        <v>3000</v>
      </c>
      <c r="L1341" s="1196">
        <v>3000</v>
      </c>
      <c r="M1341" s="1196">
        <v>3000</v>
      </c>
      <c r="N1341" s="1196">
        <v>3000</v>
      </c>
      <c r="O1341" s="1196">
        <v>3000</v>
      </c>
      <c r="P1341" s="1196">
        <v>3000</v>
      </c>
      <c r="Q1341" s="1196">
        <v>3000</v>
      </c>
      <c r="R1341" s="1196">
        <v>3000</v>
      </c>
      <c r="S1341" s="1196">
        <v>3000</v>
      </c>
      <c r="T1341" s="1196">
        <v>3000</v>
      </c>
      <c r="U1341" s="1196">
        <v>3000</v>
      </c>
      <c r="V1341" s="1196">
        <v>3000</v>
      </c>
      <c r="W1341" s="1196">
        <v>3000</v>
      </c>
      <c r="X1341" s="1196">
        <v>3000</v>
      </c>
      <c r="Y1341" s="1196">
        <v>3000</v>
      </c>
      <c r="Z1341" s="1196">
        <f ca="1">Calc!G52</f>
        <v>3000</v>
      </c>
      <c r="AB1341" s="341">
        <v>-2815.6000000000035</v>
      </c>
      <c r="AC1341" s="341">
        <v>-3093.200000000003</v>
      </c>
      <c r="AD1341" s="341">
        <v>-2975.6</v>
      </c>
      <c r="AE1341" s="341">
        <v>-3175.6000000000031</v>
      </c>
      <c r="AF1341" s="341">
        <v>-3175.6000000000031</v>
      </c>
      <c r="AG1341" s="341">
        <v>-3795.6000000000004</v>
      </c>
      <c r="AH1341" s="341">
        <v>-2875.6000000000058</v>
      </c>
      <c r="AI1341" s="341">
        <v>-2675.6000000000031</v>
      </c>
      <c r="AJ1341" s="341">
        <v>-2915.6000000000049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6">
        <v>200</v>
      </c>
      <c r="G1342" s="1196">
        <v>200</v>
      </c>
      <c r="H1342" s="1196">
        <v>200</v>
      </c>
      <c r="I1342" s="1196">
        <v>200</v>
      </c>
      <c r="J1342" s="1196">
        <v>200</v>
      </c>
      <c r="K1342" s="1196">
        <v>200</v>
      </c>
      <c r="L1342" s="1196">
        <v>200</v>
      </c>
      <c r="M1342" s="1196">
        <v>200</v>
      </c>
      <c r="N1342" s="1196">
        <v>200</v>
      </c>
      <c r="O1342" s="1196">
        <v>200</v>
      </c>
      <c r="P1342" s="1196">
        <v>200</v>
      </c>
      <c r="Q1342" s="1196">
        <v>200</v>
      </c>
      <c r="R1342" s="1196">
        <v>200</v>
      </c>
      <c r="S1342" s="1196">
        <v>200</v>
      </c>
      <c r="T1342" s="1196">
        <v>200</v>
      </c>
      <c r="U1342" s="1196">
        <v>200</v>
      </c>
      <c r="V1342" s="1196">
        <v>200</v>
      </c>
      <c r="W1342" s="1196">
        <v>200</v>
      </c>
      <c r="X1342" s="1196">
        <v>200</v>
      </c>
      <c r="Y1342" s="1196">
        <v>200</v>
      </c>
      <c r="Z1342" s="1196">
        <f ca="1">Calc!G53</f>
        <v>200</v>
      </c>
      <c r="AB1342" s="341">
        <v>1206.0000000000032</v>
      </c>
      <c r="AC1342" s="341">
        <v>576.0000000000133</v>
      </c>
      <c r="AD1342" s="341">
        <v>909.00000000001739</v>
      </c>
      <c r="AE1342" s="341">
        <v>315.00000000002046</v>
      </c>
      <c r="AF1342" s="341">
        <v>315.00000000002046</v>
      </c>
      <c r="AG1342" s="341">
        <v>-2123.9999999999868</v>
      </c>
      <c r="AH1342" s="341">
        <v>-7875</v>
      </c>
      <c r="AI1342" s="341">
        <v>-7487.9999999999936</v>
      </c>
      <c r="AJ1342" s="341">
        <v>-9629.9999999999891</v>
      </c>
      <c r="AK1342" s="341">
        <v>-9863.9999999999818</v>
      </c>
      <c r="AL1342" s="341">
        <v>-12456.000000000004</v>
      </c>
      <c r="AM1342" s="341">
        <v>-12708.000000000004</v>
      </c>
      <c r="AN1342" s="341">
        <v>-8802.0000000000018</v>
      </c>
      <c r="AO1342" s="341">
        <v>-8171.9999999999854</v>
      </c>
      <c r="AP1342" s="341">
        <v>-9054.0000000000018</v>
      </c>
      <c r="AQ1342" s="341">
        <v>-4554.0000000000018</v>
      </c>
      <c r="AR1342" s="341">
        <v>-5948.9999999999864</v>
      </c>
      <c r="AS1342" s="341">
        <v>-9306.0000000000036</v>
      </c>
      <c r="AT1342" s="341">
        <v>-8856.0000000000036</v>
      </c>
      <c r="AU1342" s="341">
        <v>-8675.9999999999873</v>
      </c>
      <c r="AV1342" s="341">
        <f ca="1">Calc!AE53</f>
        <v>-8675.9999999999873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6">
        <v>5000</v>
      </c>
      <c r="G1343" s="1196">
        <v>5000</v>
      </c>
      <c r="H1343" s="1196">
        <v>5000</v>
      </c>
      <c r="I1343" s="1196">
        <v>5000</v>
      </c>
      <c r="J1343" s="1196">
        <v>5000</v>
      </c>
      <c r="K1343" s="1196">
        <v>5000</v>
      </c>
      <c r="L1343" s="1196">
        <v>5000</v>
      </c>
      <c r="M1343" s="1196">
        <v>5000</v>
      </c>
      <c r="N1343" s="1196">
        <v>5000</v>
      </c>
      <c r="O1343" s="1196">
        <v>5000</v>
      </c>
      <c r="P1343" s="1196">
        <v>5000</v>
      </c>
      <c r="Q1343" s="1196">
        <v>5000</v>
      </c>
      <c r="R1343" s="1196">
        <v>5000</v>
      </c>
      <c r="S1343" s="1196">
        <v>5000</v>
      </c>
      <c r="T1343" s="1196">
        <v>5000</v>
      </c>
      <c r="U1343" s="1196">
        <v>5000</v>
      </c>
      <c r="V1343" s="1196">
        <v>5000</v>
      </c>
      <c r="W1343" s="1196">
        <v>5000</v>
      </c>
      <c r="X1343" s="1196">
        <v>5000</v>
      </c>
      <c r="Y1343" s="1196">
        <v>5000</v>
      </c>
      <c r="Z1343" s="1196">
        <f ca="1">Calc!G54</f>
        <v>5000</v>
      </c>
      <c r="AB1343" s="341">
        <v>34056</v>
      </c>
      <c r="AC1343" s="341">
        <v>33912.000000000007</v>
      </c>
      <c r="AD1343" s="341">
        <v>32400.000000000007</v>
      </c>
      <c r="AE1343" s="341">
        <v>31572.000000000004</v>
      </c>
      <c r="AF1343" s="341">
        <v>31572.000000000004</v>
      </c>
      <c r="AG1343" s="341">
        <v>32472.000000000004</v>
      </c>
      <c r="AH1343" s="341">
        <v>31032.000000000004</v>
      </c>
      <c r="AI1343" s="341">
        <v>32688.000000000007</v>
      </c>
      <c r="AJ1343" s="341">
        <v>32112.000000000007</v>
      </c>
      <c r="AK1343" s="341">
        <v>32500.800000000007</v>
      </c>
      <c r="AL1343" s="341">
        <v>32760.000000000004</v>
      </c>
      <c r="AM1343" s="341">
        <v>33804</v>
      </c>
      <c r="AN1343" s="341">
        <v>33264.000000000007</v>
      </c>
      <c r="AO1343" s="341">
        <v>33624.000000000007</v>
      </c>
      <c r="AP1343" s="341">
        <v>32616.000000000007</v>
      </c>
      <c r="AQ1343" s="341">
        <v>31824.000000000007</v>
      </c>
      <c r="AR1343" s="341">
        <v>32688.000000000007</v>
      </c>
      <c r="AS1343" s="341">
        <v>33192</v>
      </c>
      <c r="AT1343" s="341">
        <v>32364.000000000007</v>
      </c>
      <c r="AU1343" s="341">
        <v>32544.000000000004</v>
      </c>
      <c r="AV1343" s="341">
        <f ca="1">Calc!AE54</f>
        <v>32544.000000000004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6">
        <v>505000</v>
      </c>
      <c r="G1344" s="1196">
        <v>505000</v>
      </c>
      <c r="H1344" s="1196">
        <v>505000</v>
      </c>
      <c r="I1344" s="1196">
        <v>505000</v>
      </c>
      <c r="J1344" s="1196">
        <v>505000</v>
      </c>
      <c r="K1344" s="1196">
        <v>505000</v>
      </c>
      <c r="L1344" s="1196">
        <v>505000</v>
      </c>
      <c r="M1344" s="1196">
        <v>505000</v>
      </c>
      <c r="N1344" s="1196">
        <v>505000</v>
      </c>
      <c r="O1344" s="1196">
        <v>505000</v>
      </c>
      <c r="P1344" s="1196">
        <v>505000</v>
      </c>
      <c r="Q1344" s="1196">
        <v>505000</v>
      </c>
      <c r="R1344" s="1196">
        <v>505000</v>
      </c>
      <c r="S1344" s="1196">
        <v>505000</v>
      </c>
      <c r="T1344" s="1196">
        <v>505000</v>
      </c>
      <c r="U1344" s="1196">
        <v>505000</v>
      </c>
      <c r="V1344" s="1196">
        <v>505000</v>
      </c>
      <c r="W1344" s="1196">
        <v>505000</v>
      </c>
      <c r="X1344" s="1196">
        <v>505000</v>
      </c>
      <c r="Y1344" s="1196">
        <v>505000</v>
      </c>
      <c r="Z1344" s="1196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6">
        <v>10000</v>
      </c>
      <c r="G1345" s="1196">
        <v>10000</v>
      </c>
      <c r="H1345" s="1196">
        <v>10000</v>
      </c>
      <c r="I1345" s="1196">
        <v>10000</v>
      </c>
      <c r="J1345" s="1196">
        <v>10000</v>
      </c>
      <c r="K1345" s="1196">
        <v>10000</v>
      </c>
      <c r="L1345" s="1196">
        <v>10000</v>
      </c>
      <c r="M1345" s="1196">
        <v>10000</v>
      </c>
      <c r="N1345" s="1196">
        <v>10000</v>
      </c>
      <c r="O1345" s="1196">
        <v>10000</v>
      </c>
      <c r="P1345" s="1196">
        <v>10000</v>
      </c>
      <c r="Q1345" s="1196">
        <v>10000</v>
      </c>
      <c r="R1345" s="1196">
        <v>10000</v>
      </c>
      <c r="S1345" s="1196">
        <v>10000</v>
      </c>
      <c r="T1345" s="1196">
        <v>10000</v>
      </c>
      <c r="U1345" s="1196">
        <v>10000</v>
      </c>
      <c r="V1345" s="1196">
        <v>10000</v>
      </c>
      <c r="W1345" s="1196">
        <v>10000</v>
      </c>
      <c r="X1345" s="1196">
        <v>10000</v>
      </c>
      <c r="Y1345" s="1196">
        <v>10000</v>
      </c>
      <c r="Z1345" s="1196">
        <f ca="1">Calc!G56</f>
        <v>10000</v>
      </c>
      <c r="AB1345" s="341">
        <v>7300</v>
      </c>
      <c r="AC1345" s="341">
        <v>7149.5</v>
      </c>
      <c r="AD1345" s="341">
        <v>7550.0000000000009</v>
      </c>
      <c r="AE1345" s="341">
        <v>7675</v>
      </c>
      <c r="AF1345" s="341">
        <v>7675</v>
      </c>
      <c r="AG1345" s="341">
        <v>7750</v>
      </c>
      <c r="AH1345" s="341">
        <v>6725.0000000000009</v>
      </c>
      <c r="AI1345" s="341">
        <v>6875</v>
      </c>
      <c r="AJ1345" s="341">
        <v>4775</v>
      </c>
      <c r="AK1345" s="341">
        <v>5479.0000000000009</v>
      </c>
      <c r="AL1345" s="341">
        <v>6100.0000000000009</v>
      </c>
      <c r="AM1345" s="341">
        <v>6575</v>
      </c>
      <c r="AN1345" s="341">
        <v>6998.5000000000009</v>
      </c>
      <c r="AO1345" s="341">
        <v>7350.0000000000009</v>
      </c>
      <c r="AP1345" s="341">
        <v>7350.0000000000009</v>
      </c>
      <c r="AQ1345" s="341">
        <v>6750</v>
      </c>
      <c r="AR1345" s="341">
        <v>7100</v>
      </c>
      <c r="AS1345" s="341">
        <v>7000</v>
      </c>
      <c r="AT1345" s="341">
        <v>6350</v>
      </c>
      <c r="AU1345" s="341">
        <v>6475</v>
      </c>
      <c r="AV1345" s="341">
        <f ca="1">Calc!AE56</f>
        <v>6475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6">
        <v>12000</v>
      </c>
      <c r="G1346" s="1196">
        <v>12000</v>
      </c>
      <c r="H1346" s="1196">
        <v>12000</v>
      </c>
      <c r="I1346" s="1196">
        <v>12000</v>
      </c>
      <c r="J1346" s="1196">
        <v>12000</v>
      </c>
      <c r="K1346" s="1196">
        <v>12000</v>
      </c>
      <c r="L1346" s="1196">
        <v>12000</v>
      </c>
      <c r="M1346" s="1196">
        <v>12000</v>
      </c>
      <c r="N1346" s="1196">
        <v>12000</v>
      </c>
      <c r="O1346" s="1196">
        <v>12000</v>
      </c>
      <c r="P1346" s="1196">
        <v>12000</v>
      </c>
      <c r="Q1346" s="1196">
        <v>12000</v>
      </c>
      <c r="R1346" s="1196">
        <v>12000</v>
      </c>
      <c r="S1346" s="1196">
        <v>12000</v>
      </c>
      <c r="T1346" s="1196">
        <v>12000</v>
      </c>
      <c r="U1346" s="1196">
        <v>12000</v>
      </c>
      <c r="V1346" s="1196">
        <v>12000</v>
      </c>
      <c r="W1346" s="1196">
        <v>12000</v>
      </c>
      <c r="X1346" s="1196">
        <v>12000</v>
      </c>
      <c r="Y1346" s="1196">
        <v>12000</v>
      </c>
      <c r="Z1346" s="1196">
        <f ca="1">Calc!G57</f>
        <v>12000</v>
      </c>
      <c r="AB1346" s="341">
        <v>13369.999999999998</v>
      </c>
      <c r="AC1346" s="341">
        <v>13020</v>
      </c>
      <c r="AD1346" s="341">
        <v>13309.999999999998</v>
      </c>
      <c r="AE1346" s="341">
        <v>13009.999999999998</v>
      </c>
      <c r="AF1346" s="341">
        <v>13009.999999999998</v>
      </c>
      <c r="AG1346" s="341">
        <v>12719.999999999998</v>
      </c>
      <c r="AH1346" s="341">
        <v>13219.999999999998</v>
      </c>
      <c r="AI1346" s="341">
        <v>13559.999999999998</v>
      </c>
      <c r="AJ1346" s="341">
        <v>13169.999999999998</v>
      </c>
      <c r="AK1346" s="341">
        <v>13029.999999999998</v>
      </c>
      <c r="AL1346" s="341">
        <v>13319.999999999996</v>
      </c>
      <c r="AM1346" s="341">
        <v>13669.999999999998</v>
      </c>
      <c r="AN1346" s="341">
        <v>13559.999999999998</v>
      </c>
      <c r="AO1346" s="341">
        <v>13450</v>
      </c>
      <c r="AP1346" s="341">
        <v>13149.999999999998</v>
      </c>
      <c r="AQ1346" s="341">
        <v>12629.999999999998</v>
      </c>
      <c r="AR1346" s="341">
        <v>12180</v>
      </c>
      <c r="AS1346" s="341">
        <v>12649.999999999998</v>
      </c>
      <c r="AT1346" s="341">
        <v>12719.999999999998</v>
      </c>
      <c r="AU1346" s="341">
        <v>12450</v>
      </c>
      <c r="AV1346" s="341">
        <f ca="1">Calc!AE57</f>
        <v>12450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6">
        <v>10</v>
      </c>
      <c r="G1347" s="1196">
        <v>10</v>
      </c>
      <c r="H1347" s="1196">
        <v>10</v>
      </c>
      <c r="I1347" s="1196">
        <v>10</v>
      </c>
      <c r="J1347" s="1196">
        <v>10</v>
      </c>
      <c r="K1347" s="1196">
        <v>10</v>
      </c>
      <c r="L1347" s="1196">
        <v>10</v>
      </c>
      <c r="M1347" s="1196">
        <v>10</v>
      </c>
      <c r="N1347" s="1196">
        <v>10</v>
      </c>
      <c r="O1347" s="1196">
        <v>10</v>
      </c>
      <c r="P1347" s="1196">
        <v>10</v>
      </c>
      <c r="Q1347" s="1196">
        <v>10</v>
      </c>
      <c r="R1347" s="1196">
        <v>10</v>
      </c>
      <c r="S1347" s="1196">
        <v>10</v>
      </c>
      <c r="T1347" s="1196">
        <v>10</v>
      </c>
      <c r="U1347" s="1196">
        <v>10</v>
      </c>
      <c r="V1347" s="1196">
        <v>10</v>
      </c>
      <c r="W1347" s="1196">
        <v>10</v>
      </c>
      <c r="X1347" s="1196">
        <v>10</v>
      </c>
      <c r="Y1347" s="1196">
        <v>10</v>
      </c>
      <c r="Z1347" s="1196">
        <f ca="1">Calc!G58</f>
        <v>10</v>
      </c>
      <c r="AB1347" s="341">
        <v>-10240.749999999996</v>
      </c>
      <c r="AC1347" s="341">
        <v>-9837.0999999999967</v>
      </c>
      <c r="AD1347" s="341">
        <v>-9433.4499999999989</v>
      </c>
      <c r="AE1347" s="341">
        <v>-9373.65</v>
      </c>
      <c r="AF1347" s="341">
        <v>-9373.65</v>
      </c>
      <c r="AG1347" s="341">
        <v>-9134.4499999999989</v>
      </c>
      <c r="AH1347" s="341">
        <v>-8536.4499999999953</v>
      </c>
      <c r="AI1347" s="341">
        <v>-8999.9</v>
      </c>
      <c r="AJ1347" s="341">
        <v>-9313.85</v>
      </c>
      <c r="AK1347" s="341">
        <v>-8835.4500000000007</v>
      </c>
      <c r="AL1347" s="341">
        <v>-7609.55</v>
      </c>
      <c r="AM1347" s="341">
        <v>-6323.85</v>
      </c>
      <c r="AN1347" s="341">
        <v>-6114.55</v>
      </c>
      <c r="AO1347" s="341">
        <v>-7340.45</v>
      </c>
      <c r="AP1347" s="341">
        <v>-7415.1999999999962</v>
      </c>
      <c r="AQ1347" s="341">
        <v>-8327.15</v>
      </c>
      <c r="AR1347" s="341">
        <v>-8207.5499999999975</v>
      </c>
      <c r="AS1347" s="341">
        <v>-8282.2999999999993</v>
      </c>
      <c r="AT1347" s="341">
        <v>-8177.6499999999987</v>
      </c>
      <c r="AU1347" s="341">
        <v>-8865.35</v>
      </c>
      <c r="AV1347" s="341">
        <f ca="1">Calc!AE58</f>
        <v>-8865.35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6">
        <v>40000</v>
      </c>
      <c r="G1348" s="1196">
        <v>40000</v>
      </c>
      <c r="H1348" s="1196">
        <v>40000</v>
      </c>
      <c r="I1348" s="1196">
        <v>40000</v>
      </c>
      <c r="J1348" s="1196">
        <v>40000</v>
      </c>
      <c r="K1348" s="1196">
        <v>40000</v>
      </c>
      <c r="L1348" s="1196">
        <v>40000</v>
      </c>
      <c r="M1348" s="1196">
        <v>40000</v>
      </c>
      <c r="N1348" s="1196">
        <v>40000</v>
      </c>
      <c r="O1348" s="1196">
        <v>40000</v>
      </c>
      <c r="P1348" s="1196">
        <v>40000</v>
      </c>
      <c r="Q1348" s="1196">
        <v>40000</v>
      </c>
      <c r="R1348" s="1196">
        <v>40000</v>
      </c>
      <c r="S1348" s="1196">
        <v>40000</v>
      </c>
      <c r="T1348" s="1196">
        <v>40000</v>
      </c>
      <c r="U1348" s="1196">
        <v>40000</v>
      </c>
      <c r="V1348" s="1196">
        <v>40000</v>
      </c>
      <c r="W1348" s="1196">
        <v>40000</v>
      </c>
      <c r="X1348" s="1196">
        <v>40000</v>
      </c>
      <c r="Y1348" s="1196">
        <v>40000</v>
      </c>
      <c r="Z1348" s="1196">
        <f ca="1">Calc!G59</f>
        <v>40000</v>
      </c>
      <c r="AB1348" s="341">
        <v>-4256</v>
      </c>
      <c r="AC1348" s="341">
        <v>-4256</v>
      </c>
      <c r="AD1348" s="341">
        <v>-3920.0000000000018</v>
      </c>
      <c r="AE1348" s="341">
        <v>-4496.0000000000091</v>
      </c>
      <c r="AF1348" s="341">
        <v>-4496.0000000000091</v>
      </c>
      <c r="AG1348" s="341">
        <v>-5168.0000000000064</v>
      </c>
      <c r="AH1348" s="341">
        <v>-6448.0000000000073</v>
      </c>
      <c r="AI1348" s="341">
        <v>-6000</v>
      </c>
      <c r="AJ1348" s="341">
        <v>-6272.0000000000055</v>
      </c>
      <c r="AK1348" s="341">
        <v>-5856.0000000000091</v>
      </c>
      <c r="AL1348" s="341">
        <v>-7216.0000000000082</v>
      </c>
      <c r="AM1348" s="341">
        <v>-5472.0000000000082</v>
      </c>
      <c r="AN1348" s="341">
        <v>-3840.0000000000036</v>
      </c>
      <c r="AO1348" s="341">
        <v>-3823.9999999999982</v>
      </c>
      <c r="AP1348" s="341">
        <v>-3536.0000000000014</v>
      </c>
      <c r="AQ1348" s="341">
        <v>-1984.0000000000089</v>
      </c>
      <c r="AR1348" s="341">
        <v>-4032.0000000000109</v>
      </c>
      <c r="AS1348" s="341">
        <v>-4144.0000000000055</v>
      </c>
      <c r="AT1348" s="341">
        <v>-3856.0000000000086</v>
      </c>
      <c r="AU1348" s="341">
        <v>-3536.0000000000014</v>
      </c>
      <c r="AV1348" s="341">
        <f ca="1">Calc!AE59</f>
        <v>-3536.0000000000014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6">
        <v>12000</v>
      </c>
      <c r="G1349" s="1196">
        <v>12000</v>
      </c>
      <c r="H1349" s="1196">
        <v>12000</v>
      </c>
      <c r="I1349" s="1196">
        <v>12000</v>
      </c>
      <c r="J1349" s="1196">
        <v>12000</v>
      </c>
      <c r="K1349" s="1196">
        <v>12000</v>
      </c>
      <c r="L1349" s="1196">
        <v>12000</v>
      </c>
      <c r="M1349" s="1196">
        <v>12000</v>
      </c>
      <c r="N1349" s="1196">
        <v>12000</v>
      </c>
      <c r="O1349" s="1196">
        <v>12000</v>
      </c>
      <c r="P1349" s="1196">
        <v>12000</v>
      </c>
      <c r="Q1349" s="1196">
        <v>12000</v>
      </c>
      <c r="R1349" s="1196">
        <v>12000</v>
      </c>
      <c r="S1349" s="1196">
        <v>12000</v>
      </c>
      <c r="T1349" s="1196">
        <v>12000</v>
      </c>
      <c r="U1349" s="1196">
        <v>12000</v>
      </c>
      <c r="V1349" s="1196">
        <v>12000</v>
      </c>
      <c r="W1349" s="1196">
        <v>12000</v>
      </c>
      <c r="X1349" s="1196">
        <v>12000</v>
      </c>
      <c r="Y1349" s="1196">
        <v>12000</v>
      </c>
      <c r="Z1349" s="1196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6">
        <v>2000</v>
      </c>
      <c r="G1350" s="1196">
        <v>2000</v>
      </c>
      <c r="H1350" s="1196">
        <v>2000</v>
      </c>
      <c r="I1350" s="1196">
        <v>2000</v>
      </c>
      <c r="J1350" s="1196">
        <v>2000</v>
      </c>
      <c r="K1350" s="1196">
        <v>2000</v>
      </c>
      <c r="L1350" s="1196">
        <v>2000</v>
      </c>
      <c r="M1350" s="1196">
        <v>2000</v>
      </c>
      <c r="N1350" s="1196">
        <v>2000</v>
      </c>
      <c r="O1350" s="1196">
        <v>2000</v>
      </c>
      <c r="P1350" s="1196">
        <v>2000</v>
      </c>
      <c r="Q1350" s="1196">
        <v>2000</v>
      </c>
      <c r="R1350" s="1196">
        <v>2000</v>
      </c>
      <c r="S1350" s="1196">
        <v>2000</v>
      </c>
      <c r="T1350" s="1196">
        <v>2000</v>
      </c>
      <c r="U1350" s="1196">
        <v>2000</v>
      </c>
      <c r="V1350" s="1196">
        <v>2000</v>
      </c>
      <c r="W1350" s="1196">
        <v>2000</v>
      </c>
      <c r="X1350" s="1196">
        <v>2000</v>
      </c>
      <c r="Y1350" s="1196">
        <v>2000</v>
      </c>
      <c r="Z1350" s="1196">
        <f ca="1">Calc!G61</f>
        <v>2000</v>
      </c>
      <c r="AB1350" s="341">
        <v>-11030.000000000002</v>
      </c>
      <c r="AC1350" s="341">
        <v>-11189.999999999998</v>
      </c>
      <c r="AD1350" s="341">
        <v>-10530.000000000002</v>
      </c>
      <c r="AE1350" s="341">
        <v>-10850.000000000002</v>
      </c>
      <c r="AF1350" s="341">
        <v>-10850.000000000002</v>
      </c>
      <c r="AG1350" s="341">
        <v>-9950.0000000000036</v>
      </c>
      <c r="AH1350" s="341">
        <v>-8350.0000000000018</v>
      </c>
      <c r="AI1350" s="341">
        <v>-4530.0000000000009</v>
      </c>
      <c r="AJ1350" s="341">
        <v>-4530.0000000000009</v>
      </c>
      <c r="AK1350" s="341">
        <v>-5170.0000000000018</v>
      </c>
      <c r="AL1350" s="341">
        <v>-5670.0000000000018</v>
      </c>
      <c r="AM1350" s="341">
        <v>-4810.0000000000018</v>
      </c>
      <c r="AN1350" s="341">
        <v>-5270.0000000000027</v>
      </c>
      <c r="AO1350" s="341">
        <v>-5910.0000000000036</v>
      </c>
      <c r="AP1350" s="341">
        <v>-6469.9999999999991</v>
      </c>
      <c r="AQ1350" s="341">
        <v>-6289.9999999999991</v>
      </c>
      <c r="AR1350" s="341">
        <v>-6850.0000000000018</v>
      </c>
      <c r="AS1350" s="341">
        <v>-8350.0000000000018</v>
      </c>
      <c r="AT1350" s="341">
        <v>-10130.000000000002</v>
      </c>
      <c r="AU1350" s="341">
        <v>-9790</v>
      </c>
      <c r="AV1350" s="341">
        <f ca="1">Calc!AE61</f>
        <v>-9790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6">
        <v>21000</v>
      </c>
      <c r="G1351" s="1196">
        <v>21000</v>
      </c>
      <c r="H1351" s="1196">
        <v>21000</v>
      </c>
      <c r="I1351" s="1196">
        <v>21000</v>
      </c>
      <c r="J1351" s="1196">
        <v>21000</v>
      </c>
      <c r="K1351" s="1196">
        <v>21000</v>
      </c>
      <c r="L1351" s="1196">
        <v>21000</v>
      </c>
      <c r="M1351" s="1196">
        <v>21000</v>
      </c>
      <c r="N1351" s="1196">
        <v>21000</v>
      </c>
      <c r="O1351" s="1196">
        <v>21000</v>
      </c>
      <c r="P1351" s="1196">
        <v>21000</v>
      </c>
      <c r="Q1351" s="1196">
        <v>21000</v>
      </c>
      <c r="R1351" s="1196">
        <v>21000</v>
      </c>
      <c r="S1351" s="1196">
        <v>21000</v>
      </c>
      <c r="T1351" s="1196">
        <v>21000</v>
      </c>
      <c r="U1351" s="1196">
        <v>21000</v>
      </c>
      <c r="V1351" s="1196">
        <v>21000</v>
      </c>
      <c r="W1351" s="1196">
        <v>21000</v>
      </c>
      <c r="X1351" s="1196">
        <v>21000</v>
      </c>
      <c r="Y1351" s="1196">
        <v>21000</v>
      </c>
      <c r="Z1351" s="1196">
        <f ca="1">Calc!G62</f>
        <v>21000</v>
      </c>
      <c r="AB1351" s="341">
        <v>-3329.9999999999982</v>
      </c>
      <c r="AC1351" s="341">
        <v>-3449.9999999999959</v>
      </c>
      <c r="AD1351" s="341">
        <v>-3599.9999999999977</v>
      </c>
      <c r="AE1351" s="341">
        <v>-3254.9999999999973</v>
      </c>
      <c r="AF1351" s="341">
        <v>-3254.9999999999973</v>
      </c>
      <c r="AG1351" s="341">
        <v>-3554.9999999999964</v>
      </c>
      <c r="AH1351" s="341">
        <v>-2744.9999999999973</v>
      </c>
      <c r="AI1351" s="341">
        <v>-1724.999999999998</v>
      </c>
      <c r="AJ1351" s="341">
        <v>-1679.9999999999961</v>
      </c>
      <c r="AK1351" s="341">
        <v>-1334.9999999999955</v>
      </c>
      <c r="AL1351" s="341">
        <v>-1754.9999999999973</v>
      </c>
      <c r="AM1351" s="341">
        <v>-1424.9999999999989</v>
      </c>
      <c r="AN1351" s="341">
        <v>820.00000000000023</v>
      </c>
      <c r="AO1351" s="341">
        <v>500</v>
      </c>
      <c r="AP1351" s="341">
        <v>500</v>
      </c>
      <c r="AQ1351" s="341">
        <v>809.99999999999875</v>
      </c>
      <c r="AR1351" s="341">
        <v>519.99999999999955</v>
      </c>
      <c r="AS1351" s="341">
        <v>419.99999999999818</v>
      </c>
      <c r="AT1351" s="341">
        <v>79.999999999998295</v>
      </c>
      <c r="AU1351" s="341">
        <v>59.999999999998721</v>
      </c>
      <c r="AV1351" s="341">
        <f ca="1">Calc!AE62</f>
        <v>59.999999999998721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6">
        <v>1</v>
      </c>
      <c r="G1352" s="1196">
        <v>1</v>
      </c>
      <c r="H1352" s="1196">
        <v>1</v>
      </c>
      <c r="I1352" s="1196">
        <v>1</v>
      </c>
      <c r="J1352" s="1196">
        <v>1</v>
      </c>
      <c r="K1352" s="1196">
        <v>1</v>
      </c>
      <c r="L1352" s="1196">
        <v>1</v>
      </c>
      <c r="M1352" s="1196">
        <v>1</v>
      </c>
      <c r="N1352" s="1196">
        <v>1</v>
      </c>
      <c r="O1352" s="1196">
        <v>1</v>
      </c>
      <c r="P1352" s="1196">
        <v>1</v>
      </c>
      <c r="Q1352" s="1196">
        <v>1</v>
      </c>
      <c r="R1352" s="1196">
        <v>1</v>
      </c>
      <c r="S1352" s="1196">
        <v>1</v>
      </c>
      <c r="T1352" s="1196">
        <v>1</v>
      </c>
      <c r="U1352" s="1196">
        <v>1</v>
      </c>
      <c r="V1352" s="1196">
        <v>1</v>
      </c>
      <c r="W1352" s="1196">
        <v>1</v>
      </c>
      <c r="X1352" s="1196">
        <v>1</v>
      </c>
      <c r="Y1352" s="1196">
        <v>1</v>
      </c>
      <c r="Z1352" s="1196">
        <f ca="1">Calc!G63</f>
        <v>1</v>
      </c>
      <c r="AB1352" s="341">
        <v>-4878.7799999999952</v>
      </c>
      <c r="AC1352" s="341">
        <v>-6718.3199999999988</v>
      </c>
      <c r="AD1352" s="341">
        <v>-7358.1600000000135</v>
      </c>
      <c r="AE1352" s="341">
        <v>-7598.099999999994</v>
      </c>
      <c r="AF1352" s="341">
        <v>-7598.099999999994</v>
      </c>
      <c r="AG1352" s="341">
        <v>-8037.9899999999916</v>
      </c>
      <c r="AH1352" s="341">
        <v>-7958.0100000000084</v>
      </c>
      <c r="AI1352" s="341">
        <v>-6558.3600000000024</v>
      </c>
      <c r="AJ1352" s="341">
        <v>-6238.4400000000087</v>
      </c>
      <c r="AK1352" s="341">
        <v>-4998.75</v>
      </c>
      <c r="AL1352" s="341">
        <v>-4798.8000000000111</v>
      </c>
      <c r="AM1352" s="341">
        <v>-1999.5</v>
      </c>
      <c r="AN1352" s="341">
        <v>-1959.5100000000079</v>
      </c>
      <c r="AO1352" s="341">
        <v>-5638.5900000000147</v>
      </c>
      <c r="AP1352" s="341">
        <v>-6198.4499999999889</v>
      </c>
      <c r="AQ1352" s="341">
        <v>-9837.5400000000027</v>
      </c>
      <c r="AR1352" s="341">
        <v>-9397.6500000000051</v>
      </c>
      <c r="AS1352" s="341">
        <v>-9997.5</v>
      </c>
      <c r="AT1352" s="341">
        <v>-9557.6100000000024</v>
      </c>
      <c r="AU1352" s="341">
        <v>-10277.43</v>
      </c>
      <c r="AV1352" s="341">
        <f ca="1">Calc!AE63</f>
        <v>-10277.43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6">
        <v>401</v>
      </c>
      <c r="G1353" s="1196">
        <v>401</v>
      </c>
      <c r="H1353" s="1196">
        <v>401</v>
      </c>
      <c r="I1353" s="1196">
        <v>401</v>
      </c>
      <c r="J1353" s="1196">
        <v>401</v>
      </c>
      <c r="K1353" s="1196">
        <v>401</v>
      </c>
      <c r="L1353" s="1196">
        <v>401</v>
      </c>
      <c r="M1353" s="1196">
        <v>401</v>
      </c>
      <c r="N1353" s="1196">
        <v>401</v>
      </c>
      <c r="O1353" s="1196">
        <v>401</v>
      </c>
      <c r="P1353" s="1196">
        <v>401</v>
      </c>
      <c r="Q1353" s="1196">
        <v>401</v>
      </c>
      <c r="R1353" s="1196">
        <v>401</v>
      </c>
      <c r="S1353" s="1196">
        <v>401</v>
      </c>
      <c r="T1353" s="1196">
        <v>401</v>
      </c>
      <c r="U1353" s="1196">
        <v>401</v>
      </c>
      <c r="V1353" s="1196">
        <v>401</v>
      </c>
      <c r="W1353" s="1196">
        <v>401</v>
      </c>
      <c r="X1353" s="1196">
        <v>401</v>
      </c>
      <c r="Y1353" s="1196">
        <v>401</v>
      </c>
      <c r="Z1353" s="1196">
        <f ca="1">Calc!G64</f>
        <v>401</v>
      </c>
      <c r="AB1353" s="341">
        <v>13915.000000000005</v>
      </c>
      <c r="AC1353" s="341">
        <v>14390.000000000015</v>
      </c>
      <c r="AD1353" s="341">
        <v>15515.000000000015</v>
      </c>
      <c r="AE1353" s="341">
        <v>15290.000000000005</v>
      </c>
      <c r="AF1353" s="341">
        <v>15290.000000000005</v>
      </c>
      <c r="AG1353" s="341">
        <v>16865.000000000007</v>
      </c>
      <c r="AH1353" s="341">
        <v>17240.000000000007</v>
      </c>
      <c r="AI1353" s="341">
        <v>17815.000000000011</v>
      </c>
      <c r="AJ1353" s="341">
        <v>15540.000000000005</v>
      </c>
      <c r="AK1353" s="341">
        <v>15565.000000000013</v>
      </c>
      <c r="AL1353" s="341">
        <v>17015.000000000015</v>
      </c>
      <c r="AM1353" s="341">
        <v>19840.000000000004</v>
      </c>
      <c r="AN1353" s="341">
        <v>18515.000000000015</v>
      </c>
      <c r="AO1353" s="341">
        <v>16540.000000000007</v>
      </c>
      <c r="AP1353" s="341">
        <v>17690.000000000011</v>
      </c>
      <c r="AQ1353" s="341">
        <v>18515.000000000015</v>
      </c>
      <c r="AR1353" s="341">
        <v>18590.000000000004</v>
      </c>
      <c r="AS1353" s="341">
        <v>21890.000000000015</v>
      </c>
      <c r="AT1353" s="341">
        <v>23840.000000000004</v>
      </c>
      <c r="AU1353" s="341">
        <v>23290.000000000007</v>
      </c>
      <c r="AV1353" s="341">
        <f ca="1">Calc!AE64</f>
        <v>23290.000000000007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6">
        <v>560</v>
      </c>
      <c r="G1354" s="1196">
        <v>560</v>
      </c>
      <c r="H1354" s="1196">
        <v>560</v>
      </c>
      <c r="I1354" s="1196">
        <v>560</v>
      </c>
      <c r="J1354" s="1196">
        <v>560</v>
      </c>
      <c r="K1354" s="1196">
        <v>560</v>
      </c>
      <c r="L1354" s="1196">
        <v>560</v>
      </c>
      <c r="M1354" s="1196">
        <v>560</v>
      </c>
      <c r="N1354" s="1196">
        <v>560</v>
      </c>
      <c r="O1354" s="1196">
        <v>560</v>
      </c>
      <c r="P1354" s="1196">
        <v>560</v>
      </c>
      <c r="Q1354" s="1196">
        <v>560</v>
      </c>
      <c r="R1354" s="1196">
        <v>560</v>
      </c>
      <c r="S1354" s="1196">
        <v>560</v>
      </c>
      <c r="T1354" s="1196">
        <v>560</v>
      </c>
      <c r="U1354" s="1196">
        <v>560</v>
      </c>
      <c r="V1354" s="1196">
        <v>560</v>
      </c>
      <c r="W1354" s="1196">
        <v>560</v>
      </c>
      <c r="X1354" s="1196">
        <v>560</v>
      </c>
      <c r="Y1354" s="1196">
        <v>560</v>
      </c>
      <c r="Z1354" s="1196">
        <f ca="1">Calc!G65</f>
        <v>560</v>
      </c>
      <c r="AB1354" s="341">
        <v>4138.2399999999989</v>
      </c>
      <c r="AC1354" s="341">
        <v>3772.2399999999984</v>
      </c>
      <c r="AD1354" s="341">
        <v>4089.4400000000014</v>
      </c>
      <c r="AE1354" s="341">
        <v>4089.4400000000014</v>
      </c>
      <c r="AF1354" s="341">
        <v>4089.4400000000014</v>
      </c>
      <c r="AG1354" s="341">
        <v>4040.6400000000003</v>
      </c>
      <c r="AH1354" s="341">
        <v>3625.8399999999997</v>
      </c>
      <c r="AI1354" s="341">
        <v>4113.84</v>
      </c>
      <c r="AJ1354" s="341">
        <v>4309.0399999999991</v>
      </c>
      <c r="AK1354" s="341">
        <v>4016.2399999999984</v>
      </c>
      <c r="AL1354" s="341">
        <v>4577.4400000000014</v>
      </c>
      <c r="AM1354" s="341">
        <v>5187.4400000000014</v>
      </c>
      <c r="AN1354" s="341">
        <v>4943.4400000000014</v>
      </c>
      <c r="AO1354" s="341">
        <v>4943.4400000000014</v>
      </c>
      <c r="AP1354" s="341">
        <v>4553.0399999999991</v>
      </c>
      <c r="AQ1354" s="341">
        <v>5236.2399999999989</v>
      </c>
      <c r="AR1354" s="341">
        <v>5041.0399999999991</v>
      </c>
      <c r="AS1354" s="341">
        <v>4723.84</v>
      </c>
      <c r="AT1354" s="341">
        <v>5163.0399999999991</v>
      </c>
      <c r="AU1354" s="341">
        <v>4723.84</v>
      </c>
      <c r="AV1354" s="341">
        <f ca="1">Calc!AE65</f>
        <v>4723.84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6">
        <v>800</v>
      </c>
      <c r="G1355" s="1196">
        <v>800</v>
      </c>
      <c r="H1355" s="1196">
        <v>800</v>
      </c>
      <c r="I1355" s="1196">
        <v>800</v>
      </c>
      <c r="J1355" s="1196">
        <v>800</v>
      </c>
      <c r="K1355" s="1196">
        <v>800</v>
      </c>
      <c r="L1355" s="1196">
        <v>800</v>
      </c>
      <c r="M1355" s="1196">
        <v>800</v>
      </c>
      <c r="N1355" s="1196">
        <v>800</v>
      </c>
      <c r="O1355" s="1196">
        <v>800</v>
      </c>
      <c r="P1355" s="1196">
        <v>800</v>
      </c>
      <c r="Q1355" s="1196">
        <v>800</v>
      </c>
      <c r="R1355" s="1196">
        <v>800</v>
      </c>
      <c r="S1355" s="1196">
        <v>800</v>
      </c>
      <c r="T1355" s="1196">
        <v>800</v>
      </c>
      <c r="U1355" s="1196">
        <v>800</v>
      </c>
      <c r="V1355" s="1196">
        <v>800</v>
      </c>
      <c r="W1355" s="1196">
        <v>800</v>
      </c>
      <c r="X1355" s="1196">
        <v>500</v>
      </c>
      <c r="Y1355" s="1196">
        <v>500</v>
      </c>
      <c r="Z1355" s="1196">
        <f ca="1">Calc!G66</f>
        <v>500</v>
      </c>
      <c r="AB1355" s="341">
        <v>3026.3999999999965</v>
      </c>
      <c r="AC1355" s="341">
        <v>3251.9999999999959</v>
      </c>
      <c r="AD1355" s="341">
        <v>3307.2000000000003</v>
      </c>
      <c r="AE1355" s="341">
        <v>3520.799999999997</v>
      </c>
      <c r="AF1355" s="341">
        <v>3520.799999999997</v>
      </c>
      <c r="AG1355" s="341">
        <v>4507.2000000000007</v>
      </c>
      <c r="AH1355" s="341">
        <v>4231.1999999999989</v>
      </c>
      <c r="AI1355" s="341">
        <v>3715.1999999999975</v>
      </c>
      <c r="AJ1355" s="341">
        <v>3431.9999999999959</v>
      </c>
      <c r="AK1355" s="341">
        <v>3213.6239999999975</v>
      </c>
      <c r="AL1355" s="341">
        <v>3036.0000000000014</v>
      </c>
      <c r="AM1355" s="341">
        <v>4130.4479999999967</v>
      </c>
      <c r="AN1355" s="341">
        <v>2062.7039999999965</v>
      </c>
      <c r="AO1355" s="341">
        <v>1516.7999999999984</v>
      </c>
      <c r="AP1355" s="341">
        <v>1202.3999999999978</v>
      </c>
      <c r="AQ1355" s="341">
        <v>1658.3999999999992</v>
      </c>
      <c r="AR1355" s="341">
        <v>2505.5999999999995</v>
      </c>
      <c r="AS1355" s="341">
        <v>4320</v>
      </c>
      <c r="AT1355" s="341">
        <v>-58.499999999997954</v>
      </c>
      <c r="AU1355" s="341">
        <v>-1157.9999999999955</v>
      </c>
      <c r="AV1355" s="341">
        <f ca="1">Calc!AE66</f>
        <v>-1157.9999999999955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6">
        <v>2000</v>
      </c>
      <c r="G1356" s="1196">
        <v>2000</v>
      </c>
      <c r="H1356" s="1196">
        <v>2000</v>
      </c>
      <c r="I1356" s="1196">
        <v>2000</v>
      </c>
      <c r="J1356" s="1196">
        <v>2000</v>
      </c>
      <c r="K1356" s="1196">
        <v>2000</v>
      </c>
      <c r="L1356" s="1196">
        <v>2000</v>
      </c>
      <c r="M1356" s="1196">
        <v>2000</v>
      </c>
      <c r="N1356" s="1196">
        <v>2000</v>
      </c>
      <c r="O1356" s="1196">
        <v>2000</v>
      </c>
      <c r="P1356" s="1196">
        <v>2000</v>
      </c>
      <c r="Q1356" s="1196">
        <v>2000</v>
      </c>
      <c r="R1356" s="1196">
        <v>2000</v>
      </c>
      <c r="S1356" s="1196">
        <v>2000</v>
      </c>
      <c r="T1356" s="1196">
        <v>2000</v>
      </c>
      <c r="U1356" s="1196">
        <v>2000</v>
      </c>
      <c r="V1356" s="1196">
        <v>2000</v>
      </c>
      <c r="W1356" s="1196">
        <v>2000</v>
      </c>
      <c r="X1356" s="1196">
        <v>2000</v>
      </c>
      <c r="Y1356" s="1196">
        <v>2000</v>
      </c>
      <c r="Z1356" s="1196">
        <f ca="1">Calc!G67</f>
        <v>2000</v>
      </c>
      <c r="AB1356" s="341">
        <v>883.39999999999463</v>
      </c>
      <c r="AC1356" s="341">
        <v>569.99999999999318</v>
      </c>
      <c r="AD1356" s="341">
        <v>1260.000000000005</v>
      </c>
      <c r="AE1356" s="341">
        <v>2609.9999999999995</v>
      </c>
      <c r="AF1356" s="341">
        <v>2609.9999999999995</v>
      </c>
      <c r="AG1356" s="341">
        <v>4454.9999999999982</v>
      </c>
      <c r="AH1356" s="341">
        <v>2390.0000000000005</v>
      </c>
      <c r="AI1356" s="341">
        <v>2004.9999999999955</v>
      </c>
      <c r="AJ1356" s="341">
        <v>1799.9999999999973</v>
      </c>
      <c r="AK1356" s="341">
        <v>86.44999999999925</v>
      </c>
      <c r="AL1356" s="341">
        <v>1859.9999999999995</v>
      </c>
      <c r="AM1356" s="341">
        <v>5173.5500000000056</v>
      </c>
      <c r="AN1356" s="341">
        <v>3370.0000000000045</v>
      </c>
      <c r="AO1356" s="341">
        <v>3364.999999999995</v>
      </c>
      <c r="AP1356" s="341">
        <v>-1480.0000000000041</v>
      </c>
      <c r="AQ1356" s="341">
        <v>-1560.0000000000023</v>
      </c>
      <c r="AR1356" s="341">
        <v>-2760.000000000005</v>
      </c>
      <c r="AS1356" s="341">
        <v>1194.9999999999932</v>
      </c>
      <c r="AT1356" s="341">
        <v>1287.4999999999943</v>
      </c>
      <c r="AU1356" s="341">
        <v>2284.9999999999964</v>
      </c>
      <c r="AV1356" s="341">
        <f ca="1">Calc!AE67</f>
        <v>2284.9999999999964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6">
        <v>180</v>
      </c>
      <c r="G1357" s="1196">
        <v>180</v>
      </c>
      <c r="H1357" s="1196">
        <v>180</v>
      </c>
      <c r="I1357" s="1196">
        <v>180</v>
      </c>
      <c r="J1357" s="1196">
        <v>180</v>
      </c>
      <c r="K1357" s="1196">
        <v>180</v>
      </c>
      <c r="L1357" s="1196">
        <v>180</v>
      </c>
      <c r="M1357" s="1196">
        <v>180</v>
      </c>
      <c r="N1357" s="1196">
        <v>180</v>
      </c>
      <c r="O1357" s="1196">
        <v>180</v>
      </c>
      <c r="P1357" s="1196">
        <v>180</v>
      </c>
      <c r="Q1357" s="1196">
        <v>180</v>
      </c>
      <c r="R1357" s="1196">
        <v>180</v>
      </c>
      <c r="S1357" s="1196">
        <v>180</v>
      </c>
      <c r="T1357" s="1196">
        <v>180</v>
      </c>
      <c r="U1357" s="1196">
        <v>180</v>
      </c>
      <c r="V1357" s="1196">
        <v>180</v>
      </c>
      <c r="W1357" s="1196">
        <v>180</v>
      </c>
      <c r="X1357" s="1196">
        <v>180</v>
      </c>
      <c r="Y1357" s="1196">
        <v>180</v>
      </c>
      <c r="Z1357" s="1196">
        <f ca="1">Calc!G68</f>
        <v>180</v>
      </c>
      <c r="AB1357" s="341">
        <v>-2391.8400000000006</v>
      </c>
      <c r="AC1357" s="341">
        <v>-1995.8400000000006</v>
      </c>
      <c r="AD1357" s="341">
        <v>-1910.0400000000036</v>
      </c>
      <c r="AE1357" s="341">
        <v>-2352.2399999999989</v>
      </c>
      <c r="AF1357" s="341">
        <v>-2352.2399999999989</v>
      </c>
      <c r="AG1357" s="341">
        <v>-2081.6400000000049</v>
      </c>
      <c r="AH1357" s="341">
        <v>-2642.6400000000049</v>
      </c>
      <c r="AI1357" s="341">
        <v>-2900.0400000000036</v>
      </c>
      <c r="AJ1357" s="341">
        <v>-3533.6400000000049</v>
      </c>
      <c r="AK1357" s="341">
        <v>-3157.4400000000023</v>
      </c>
      <c r="AL1357" s="341">
        <v>-1923.2399999999991</v>
      </c>
      <c r="AM1357" s="341">
        <v>-682.4400000000021</v>
      </c>
      <c r="AN1357" s="341">
        <v>-1547.0400000000036</v>
      </c>
      <c r="AO1357" s="341">
        <v>-1764.8400000000006</v>
      </c>
      <c r="AP1357" s="341">
        <v>-124.19999999999754</v>
      </c>
      <c r="AQ1357" s="341">
        <v>-885.59999999999877</v>
      </c>
      <c r="AR1357" s="341">
        <v>-1242</v>
      </c>
      <c r="AS1357" s="341">
        <v>-1080</v>
      </c>
      <c r="AT1357" s="341">
        <v>-1393.1999999999975</v>
      </c>
      <c r="AU1357" s="341">
        <v>-1598.3999999999951</v>
      </c>
      <c r="AV1357" s="341">
        <f ca="1">Calc!AE68</f>
        <v>-1598.3999999999951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6">
        <v>121000</v>
      </c>
      <c r="G1358" s="1196">
        <v>121000</v>
      </c>
      <c r="H1358" s="1196">
        <v>121000</v>
      </c>
      <c r="I1358" s="1196">
        <v>121000</v>
      </c>
      <c r="J1358" s="1196">
        <v>121000</v>
      </c>
      <c r="K1358" s="1196">
        <v>121000</v>
      </c>
      <c r="L1358" s="1196">
        <v>121000</v>
      </c>
      <c r="M1358" s="1196">
        <v>121000</v>
      </c>
      <c r="N1358" s="1196">
        <v>121000</v>
      </c>
      <c r="O1358" s="1196">
        <v>121000</v>
      </c>
      <c r="P1358" s="1196">
        <v>121000</v>
      </c>
      <c r="Q1358" s="1196">
        <v>121000</v>
      </c>
      <c r="R1358" s="1196">
        <v>121000</v>
      </c>
      <c r="S1358" s="1196">
        <v>121000</v>
      </c>
      <c r="T1358" s="1196">
        <v>121000</v>
      </c>
      <c r="U1358" s="1196">
        <v>121000</v>
      </c>
      <c r="V1358" s="1196">
        <v>121000</v>
      </c>
      <c r="W1358" s="1196">
        <v>121000</v>
      </c>
      <c r="X1358" s="1196">
        <v>121000</v>
      </c>
      <c r="Y1358" s="1196">
        <v>121000</v>
      </c>
      <c r="Z1358" s="1196">
        <f ca="1">Calc!G69</f>
        <v>121000</v>
      </c>
      <c r="AB1358" s="341">
        <v>12105</v>
      </c>
      <c r="AC1358" s="341">
        <v>11954.499999999998</v>
      </c>
      <c r="AD1358" s="341">
        <v>12355</v>
      </c>
      <c r="AE1358" s="341">
        <v>12479.999999999998</v>
      </c>
      <c r="AF1358" s="341">
        <v>12479.999999999998</v>
      </c>
      <c r="AG1358" s="341">
        <v>12555</v>
      </c>
      <c r="AH1358" s="341">
        <v>11530</v>
      </c>
      <c r="AI1358" s="341">
        <v>11680</v>
      </c>
      <c r="AJ1358" s="341">
        <v>9580</v>
      </c>
      <c r="AK1358" s="341">
        <v>10284</v>
      </c>
      <c r="AL1358" s="341">
        <v>10905</v>
      </c>
      <c r="AM1358" s="341">
        <v>11379.999999999998</v>
      </c>
      <c r="AN1358" s="341">
        <v>11803.5</v>
      </c>
      <c r="AO1358" s="341">
        <v>12155</v>
      </c>
      <c r="AP1358" s="341">
        <v>12155</v>
      </c>
      <c r="AQ1358" s="341">
        <v>11555</v>
      </c>
      <c r="AR1358" s="341">
        <v>11904.999999999998</v>
      </c>
      <c r="AS1358" s="341">
        <v>11804.999999999998</v>
      </c>
      <c r="AT1358" s="341">
        <v>11155</v>
      </c>
      <c r="AU1358" s="341">
        <v>11279.999999999998</v>
      </c>
      <c r="AV1358" s="341">
        <f ca="1">Calc!AE69</f>
        <v>11279.999999999998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6">
        <v>670</v>
      </c>
      <c r="G1359" s="1196">
        <v>670</v>
      </c>
      <c r="H1359" s="1196">
        <v>670</v>
      </c>
      <c r="I1359" s="1196">
        <v>670</v>
      </c>
      <c r="J1359" s="1196">
        <v>670</v>
      </c>
      <c r="K1359" s="1196">
        <v>670</v>
      </c>
      <c r="L1359" s="1196">
        <v>670</v>
      </c>
      <c r="M1359" s="1196">
        <v>670</v>
      </c>
      <c r="N1359" s="1196">
        <v>670</v>
      </c>
      <c r="O1359" s="1196">
        <v>670</v>
      </c>
      <c r="P1359" s="1196">
        <v>670</v>
      </c>
      <c r="Q1359" s="1196">
        <v>670</v>
      </c>
      <c r="R1359" s="1196">
        <v>670</v>
      </c>
      <c r="S1359" s="1196">
        <v>670</v>
      </c>
      <c r="T1359" s="1196">
        <v>670</v>
      </c>
      <c r="U1359" s="1196">
        <v>670</v>
      </c>
      <c r="V1359" s="1196">
        <v>670</v>
      </c>
      <c r="W1359" s="1196">
        <v>670</v>
      </c>
      <c r="X1359" s="1196">
        <v>670</v>
      </c>
      <c r="Y1359" s="1196">
        <v>670</v>
      </c>
      <c r="Z1359" s="1196">
        <f ca="1">Calc!G70</f>
        <v>670</v>
      </c>
      <c r="AB1359" s="341">
        <v>2232.4500000000003</v>
      </c>
      <c r="AC1359" s="341">
        <v>2176.3499999999995</v>
      </c>
      <c r="AD1359" s="341">
        <v>2186.25</v>
      </c>
      <c r="AE1359" s="341">
        <v>2252.2500000000009</v>
      </c>
      <c r="AF1359" s="341">
        <v>2252.2500000000009</v>
      </c>
      <c r="AG1359" s="341">
        <v>1950.2999999999988</v>
      </c>
      <c r="AH1359" s="341">
        <v>1725.9000000000012</v>
      </c>
      <c r="AI1359" s="341">
        <v>1755.5999999999976</v>
      </c>
      <c r="AJ1359" s="341">
        <v>1617.0000000000018</v>
      </c>
      <c r="AK1359" s="341">
        <v>1943.7000000000003</v>
      </c>
      <c r="AL1359" s="341">
        <v>1514.7000000000012</v>
      </c>
      <c r="AM1359" s="341">
        <v>2039.3999999999976</v>
      </c>
      <c r="AN1359" s="341">
        <v>2088.8999999999996</v>
      </c>
      <c r="AO1359" s="341">
        <v>1844.7000000000012</v>
      </c>
      <c r="AP1359" s="341">
        <v>1372.7999999999988</v>
      </c>
      <c r="AQ1359" s="341">
        <v>1362.8999999999985</v>
      </c>
      <c r="AR1359" s="341">
        <v>1851.2999999999997</v>
      </c>
      <c r="AS1359" s="341">
        <v>2359.5000000000018</v>
      </c>
      <c r="AT1359" s="341">
        <v>1922.2500000000009</v>
      </c>
      <c r="AU1359" s="341">
        <v>2310</v>
      </c>
      <c r="AV1359" s="341">
        <f ca="1">Calc!AE70</f>
        <v>2310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6">
        <v>0</v>
      </c>
      <c r="G1360" s="1196">
        <v>0</v>
      </c>
      <c r="H1360" s="1196">
        <v>0</v>
      </c>
      <c r="I1360" s="1196">
        <v>0</v>
      </c>
      <c r="J1360" s="1196">
        <v>0</v>
      </c>
      <c r="K1360" s="1196">
        <v>0</v>
      </c>
      <c r="L1360" s="1196">
        <v>0</v>
      </c>
      <c r="M1360" s="1196">
        <v>0</v>
      </c>
      <c r="N1360" s="1196">
        <v>0</v>
      </c>
      <c r="O1360" s="1196">
        <v>0</v>
      </c>
      <c r="P1360" s="1196">
        <v>0</v>
      </c>
      <c r="Q1360" s="1196">
        <v>0</v>
      </c>
      <c r="R1360" s="1196">
        <v>0</v>
      </c>
      <c r="S1360" s="1196">
        <v>0</v>
      </c>
      <c r="T1360" s="1196">
        <v>0</v>
      </c>
      <c r="U1360" s="1196">
        <v>0</v>
      </c>
      <c r="V1360" s="1196">
        <v>0</v>
      </c>
      <c r="W1360" s="1196">
        <v>0</v>
      </c>
      <c r="X1360" s="1196">
        <v>0</v>
      </c>
      <c r="Y1360" s="1196">
        <v>0</v>
      </c>
      <c r="Z1360" s="1196">
        <f ca="1">Calc!G71</f>
        <v>0</v>
      </c>
      <c r="AB1360" s="341">
        <v>-14253.199999999993</v>
      </c>
      <c r="AC1360" s="341">
        <v>-15793.199999999999</v>
      </c>
      <c r="AD1360" s="341">
        <v>-15437.799999999996</v>
      </c>
      <c r="AE1360" s="341">
        <v>-16653.199999999997</v>
      </c>
      <c r="AF1360" s="341">
        <v>-16653.199999999997</v>
      </c>
      <c r="AG1360" s="341">
        <v>-16333.199999999992</v>
      </c>
      <c r="AH1360" s="341">
        <v>-19283.199999999993</v>
      </c>
      <c r="AI1360" s="341">
        <v>-20333.19999999999</v>
      </c>
      <c r="AJ1360" s="341">
        <v>-20213.2</v>
      </c>
      <c r="AK1360" s="341">
        <v>-18733.199999999997</v>
      </c>
      <c r="AL1360" s="341">
        <v>-19913.200000000004</v>
      </c>
      <c r="AM1360" s="341">
        <v>-18893.199999999993</v>
      </c>
      <c r="AN1360" s="341">
        <v>-19273.200000000004</v>
      </c>
      <c r="AO1360" s="341">
        <v>-18233.199999999997</v>
      </c>
      <c r="AP1360" s="341">
        <v>-19033.199999999993</v>
      </c>
      <c r="AQ1360" s="341">
        <v>-19213.2</v>
      </c>
      <c r="AR1360" s="341">
        <v>-18773.200000000004</v>
      </c>
      <c r="AS1360" s="341">
        <v>-17423.199999999993</v>
      </c>
      <c r="AT1360" s="341">
        <v>-20113.199999999993</v>
      </c>
      <c r="AU1360" s="341">
        <v>-19743.2</v>
      </c>
      <c r="AV1360" s="341">
        <f ca="1">Calc!AE71</f>
        <v>-19743.2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6">
        <v>0</v>
      </c>
      <c r="G1361" s="1196">
        <v>0</v>
      </c>
      <c r="H1361" s="1196">
        <v>0</v>
      </c>
      <c r="I1361" s="1196">
        <v>0</v>
      </c>
      <c r="J1361" s="1196">
        <v>0</v>
      </c>
      <c r="K1361" s="1196">
        <v>0</v>
      </c>
      <c r="L1361" s="1196">
        <v>0</v>
      </c>
      <c r="M1361" s="1196">
        <v>0</v>
      </c>
      <c r="N1361" s="1196">
        <v>0</v>
      </c>
      <c r="O1361" s="1196">
        <v>0</v>
      </c>
      <c r="P1361" s="1196">
        <v>0</v>
      </c>
      <c r="Q1361" s="1196">
        <v>0</v>
      </c>
      <c r="R1361" s="1196">
        <v>0</v>
      </c>
      <c r="S1361" s="1196">
        <v>0</v>
      </c>
      <c r="T1361" s="1196">
        <v>0</v>
      </c>
      <c r="U1361" s="1196">
        <v>0</v>
      </c>
      <c r="V1361" s="1196">
        <v>0</v>
      </c>
      <c r="W1361" s="1196">
        <v>0</v>
      </c>
      <c r="X1361" s="1196">
        <v>0</v>
      </c>
      <c r="Y1361" s="1196">
        <v>0</v>
      </c>
      <c r="Z1361" s="1196">
        <f ca="1">Calc!G72</f>
        <v>0</v>
      </c>
      <c r="AB1361" s="341">
        <v>-82079.999999999985</v>
      </c>
      <c r="AC1361" s="341">
        <v>-84079.999999999985</v>
      </c>
      <c r="AD1361" s="341">
        <v>-86979.999999999971</v>
      </c>
      <c r="AE1361" s="341">
        <v>-91979.999999999971</v>
      </c>
      <c r="AF1361" s="341">
        <v>-91979.999999999971</v>
      </c>
      <c r="AG1361" s="341">
        <v>-85880</v>
      </c>
      <c r="AH1361" s="341">
        <v>-92680</v>
      </c>
      <c r="AI1361" s="341">
        <v>-90680</v>
      </c>
      <c r="AJ1361" s="341">
        <v>-82680.000000000015</v>
      </c>
      <c r="AK1361" s="341">
        <v>-87579.999999999985</v>
      </c>
      <c r="AL1361" s="341">
        <v>-87880</v>
      </c>
      <c r="AM1361" s="341">
        <v>-76079.999999999985</v>
      </c>
      <c r="AN1361" s="341">
        <v>-88964</v>
      </c>
      <c r="AO1361" s="341">
        <v>-88779.999999999985</v>
      </c>
      <c r="AP1361" s="341">
        <v>-88880</v>
      </c>
      <c r="AQ1361" s="341">
        <v>-92279.999999999985</v>
      </c>
      <c r="AR1361" s="341">
        <v>-95979.999999999971</v>
      </c>
      <c r="AS1361" s="341">
        <v>-79779.999999999971</v>
      </c>
      <c r="AT1361" s="341">
        <v>-80380</v>
      </c>
      <c r="AU1361" s="341">
        <v>-80079.999999999985</v>
      </c>
      <c r="AV1361" s="341">
        <f ca="1">Calc!AE72</f>
        <v>-80079.999999999985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6">
        <v>5000</v>
      </c>
      <c r="G1362" s="1196">
        <v>5000</v>
      </c>
      <c r="H1362" s="1196">
        <v>5000</v>
      </c>
      <c r="I1362" s="1196">
        <v>5000</v>
      </c>
      <c r="J1362" s="1196">
        <v>5000</v>
      </c>
      <c r="K1362" s="1196">
        <v>5000</v>
      </c>
      <c r="L1362" s="1196">
        <v>5000</v>
      </c>
      <c r="M1362" s="1196">
        <v>5000</v>
      </c>
      <c r="N1362" s="1196">
        <v>5000</v>
      </c>
      <c r="O1362" s="1196">
        <v>5000</v>
      </c>
      <c r="P1362" s="1196">
        <v>5000</v>
      </c>
      <c r="Q1362" s="1196">
        <v>5000</v>
      </c>
      <c r="R1362" s="1196">
        <v>5000</v>
      </c>
      <c r="S1362" s="1196">
        <v>5000</v>
      </c>
      <c r="T1362" s="1196">
        <v>5000</v>
      </c>
      <c r="U1362" s="1196">
        <v>5000</v>
      </c>
      <c r="V1362" s="1196">
        <v>5000</v>
      </c>
      <c r="W1362" s="1196">
        <v>5000</v>
      </c>
      <c r="X1362" s="1196">
        <v>5000</v>
      </c>
      <c r="Y1362" s="1196">
        <v>5000</v>
      </c>
      <c r="Z1362" s="1196">
        <f ca="1">Calc!G73</f>
        <v>5000</v>
      </c>
      <c r="AB1362" s="341">
        <v>19496.019999999997</v>
      </c>
      <c r="AC1362" s="341">
        <v>19256</v>
      </c>
      <c r="AD1362" s="341">
        <v>19213</v>
      </c>
      <c r="AE1362" s="341">
        <v>19233</v>
      </c>
      <c r="AF1362" s="341">
        <v>19233</v>
      </c>
      <c r="AG1362" s="341">
        <v>19442</v>
      </c>
      <c r="AH1362" s="341">
        <v>19750</v>
      </c>
      <c r="AI1362" s="341">
        <v>19873.999999999996</v>
      </c>
      <c r="AJ1362" s="341">
        <v>19800</v>
      </c>
      <c r="AK1362" s="341">
        <v>19931</v>
      </c>
      <c r="AL1362" s="341">
        <v>20002</v>
      </c>
      <c r="AM1362" s="341">
        <v>20123.999999999996</v>
      </c>
      <c r="AN1362" s="341">
        <v>19964</v>
      </c>
      <c r="AO1362" s="341">
        <v>20010</v>
      </c>
      <c r="AP1362" s="341">
        <v>19964</v>
      </c>
      <c r="AQ1362" s="341">
        <v>19854</v>
      </c>
      <c r="AR1362" s="341">
        <v>19926</v>
      </c>
      <c r="AS1362" s="341">
        <v>19958</v>
      </c>
      <c r="AT1362" s="341">
        <v>19744</v>
      </c>
      <c r="AU1362" s="341">
        <v>20117.999999999996</v>
      </c>
      <c r="AV1362" s="341">
        <f ca="1">Calc!AE73</f>
        <v>20117.999999999996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6">
        <v>160000</v>
      </c>
      <c r="G1363" s="1196">
        <v>160000</v>
      </c>
      <c r="H1363" s="1196">
        <v>160000</v>
      </c>
      <c r="I1363" s="1196">
        <v>160000</v>
      </c>
      <c r="J1363" s="1196">
        <v>160000</v>
      </c>
      <c r="K1363" s="1196">
        <v>160000</v>
      </c>
      <c r="L1363" s="1196">
        <v>160000</v>
      </c>
      <c r="M1363" s="1196">
        <v>160000</v>
      </c>
      <c r="N1363" s="1196">
        <v>160000</v>
      </c>
      <c r="O1363" s="1196">
        <v>160000</v>
      </c>
      <c r="P1363" s="1196">
        <v>160000</v>
      </c>
      <c r="Q1363" s="1196">
        <v>160000</v>
      </c>
      <c r="R1363" s="1196">
        <v>160000</v>
      </c>
      <c r="S1363" s="1196">
        <v>160000</v>
      </c>
      <c r="T1363" s="1196">
        <v>160000</v>
      </c>
      <c r="U1363" s="1196">
        <v>160000</v>
      </c>
      <c r="V1363" s="1196">
        <v>160000</v>
      </c>
      <c r="W1363" s="1196">
        <v>160000</v>
      </c>
      <c r="X1363" s="1196">
        <v>160000</v>
      </c>
      <c r="Y1363" s="1196">
        <v>160000</v>
      </c>
      <c r="Z1363" s="1196">
        <f ca="1">Calc!G74</f>
        <v>160000</v>
      </c>
      <c r="AB1363" s="341">
        <v>33183</v>
      </c>
      <c r="AC1363" s="341">
        <v>32535</v>
      </c>
      <c r="AD1363" s="341">
        <v>31607.999999999996</v>
      </c>
      <c r="AE1363" s="341">
        <v>32956.5</v>
      </c>
      <c r="AF1363" s="341">
        <v>32956.5</v>
      </c>
      <c r="AG1363" s="341">
        <v>33136.5</v>
      </c>
      <c r="AH1363" s="341">
        <v>31909.5</v>
      </c>
      <c r="AI1363" s="341">
        <v>31759.500000000004</v>
      </c>
      <c r="AJ1363" s="341">
        <v>31309.5</v>
      </c>
      <c r="AK1363" s="341">
        <v>31084.500000000004</v>
      </c>
      <c r="AL1363" s="341">
        <v>29209.5</v>
      </c>
      <c r="AM1363" s="341">
        <v>30184.499999999996</v>
      </c>
      <c r="AN1363" s="341">
        <v>29884.5</v>
      </c>
      <c r="AO1363" s="341">
        <v>30559.5</v>
      </c>
      <c r="AP1363" s="341">
        <v>31609.5</v>
      </c>
      <c r="AQ1363" s="341">
        <v>30409.5</v>
      </c>
      <c r="AR1363" s="341">
        <v>29809.5</v>
      </c>
      <c r="AS1363" s="341">
        <v>29959.5</v>
      </c>
      <c r="AT1363" s="341">
        <v>28234.499999999996</v>
      </c>
      <c r="AU1363" s="341">
        <v>26809.5</v>
      </c>
      <c r="AV1363" s="341">
        <f ca="1">Calc!AE74</f>
        <v>26809.5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6">
        <v>2000</v>
      </c>
      <c r="G1364" s="1196">
        <v>2000</v>
      </c>
      <c r="H1364" s="1196">
        <v>2000</v>
      </c>
      <c r="I1364" s="1196">
        <v>2000</v>
      </c>
      <c r="J1364" s="1196">
        <v>2000</v>
      </c>
      <c r="K1364" s="1196">
        <v>2000</v>
      </c>
      <c r="L1364" s="1196">
        <v>2000</v>
      </c>
      <c r="M1364" s="1196">
        <v>2000</v>
      </c>
      <c r="N1364" s="1196">
        <v>2000</v>
      </c>
      <c r="O1364" s="1196">
        <v>2000</v>
      </c>
      <c r="P1364" s="1196">
        <v>2000</v>
      </c>
      <c r="Q1364" s="1196">
        <v>2000</v>
      </c>
      <c r="R1364" s="1196">
        <v>2000</v>
      </c>
      <c r="S1364" s="1196">
        <v>2000</v>
      </c>
      <c r="T1364" s="1196">
        <v>2000</v>
      </c>
      <c r="U1364" s="1196">
        <v>2000</v>
      </c>
      <c r="V1364" s="1196">
        <v>2000</v>
      </c>
      <c r="W1364" s="1196">
        <v>2000</v>
      </c>
      <c r="X1364" s="1196">
        <v>2000</v>
      </c>
      <c r="Y1364" s="1196">
        <v>2000</v>
      </c>
      <c r="Z1364" s="1196">
        <f ca="1">Calc!G75</f>
        <v>2000</v>
      </c>
      <c r="AB1364" s="341">
        <v>-607.99999999999704</v>
      </c>
      <c r="AC1364" s="341">
        <v>-607.99999999999704</v>
      </c>
      <c r="AD1364" s="341">
        <v>-439.99999999999773</v>
      </c>
      <c r="AE1364" s="341">
        <v>-728.00000000000159</v>
      </c>
      <c r="AF1364" s="341">
        <v>-728.00000000000159</v>
      </c>
      <c r="AG1364" s="341">
        <v>-1064</v>
      </c>
      <c r="AH1364" s="341">
        <v>-1704.0000000000007</v>
      </c>
      <c r="AI1364" s="341">
        <v>-1479.9999999999968</v>
      </c>
      <c r="AJ1364" s="341">
        <v>-27.999999999998693</v>
      </c>
      <c r="AK1364" s="341">
        <v>76.000000000000512</v>
      </c>
      <c r="AL1364" s="341">
        <v>-263.99999999999932</v>
      </c>
      <c r="AM1364" s="341">
        <v>172.0000000000006</v>
      </c>
      <c r="AN1364" s="341">
        <v>580.00000000000182</v>
      </c>
      <c r="AO1364" s="341">
        <v>584.00000000000318</v>
      </c>
      <c r="AP1364" s="341">
        <v>656.00000000000239</v>
      </c>
      <c r="AQ1364" s="341">
        <v>1044.0000000000005</v>
      </c>
      <c r="AR1364" s="341">
        <v>532</v>
      </c>
      <c r="AS1364" s="341">
        <v>504.00000000000136</v>
      </c>
      <c r="AT1364" s="341">
        <v>576.00000000000045</v>
      </c>
      <c r="AU1364" s="341">
        <v>656.00000000000239</v>
      </c>
      <c r="AV1364" s="341">
        <f ca="1">Calc!AE75</f>
        <v>656.00000000000239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6">
        <v>20000</v>
      </c>
      <c r="G1365" s="1196">
        <v>20000</v>
      </c>
      <c r="H1365" s="1196">
        <v>20000</v>
      </c>
      <c r="I1365" s="1196">
        <v>20000</v>
      </c>
      <c r="J1365" s="1196">
        <v>20000</v>
      </c>
      <c r="K1365" s="1196">
        <v>20000</v>
      </c>
      <c r="L1365" s="1196">
        <v>20000</v>
      </c>
      <c r="M1365" s="1196">
        <v>20000</v>
      </c>
      <c r="N1365" s="1196">
        <v>20000</v>
      </c>
      <c r="O1365" s="1196">
        <v>20000</v>
      </c>
      <c r="P1365" s="1196">
        <v>20000</v>
      </c>
      <c r="Q1365" s="1196">
        <v>20000</v>
      </c>
      <c r="R1365" s="1196">
        <v>20000</v>
      </c>
      <c r="S1365" s="1196">
        <v>20000</v>
      </c>
      <c r="T1365" s="1196">
        <v>20000</v>
      </c>
      <c r="U1365" s="1196">
        <v>20000</v>
      </c>
      <c r="V1365" s="1196">
        <v>20000</v>
      </c>
      <c r="W1365" s="1196">
        <v>20000</v>
      </c>
      <c r="X1365" s="1196">
        <v>20000</v>
      </c>
      <c r="Y1365" s="1196">
        <v>20000</v>
      </c>
      <c r="Z1365" s="1196">
        <f ca="1">Calc!G76</f>
        <v>20000</v>
      </c>
      <c r="AB1365" s="341">
        <v>5904.0000000000127</v>
      </c>
      <c r="AC1365" s="341">
        <v>5040.8999999999996</v>
      </c>
      <c r="AD1365" s="341">
        <v>6048.0000000000045</v>
      </c>
      <c r="AE1365" s="341">
        <v>4608.0000000000045</v>
      </c>
      <c r="AF1365" s="341">
        <v>4608.0000000000045</v>
      </c>
      <c r="AG1365" s="341">
        <v>6444.0000000000127</v>
      </c>
      <c r="AH1365" s="341">
        <v>6048.0000000000045</v>
      </c>
      <c r="AI1365" s="341">
        <v>6876.0000000000082</v>
      </c>
      <c r="AJ1365" s="341">
        <v>9720.0000000000109</v>
      </c>
      <c r="AK1365" s="341">
        <v>9000.0000000000109</v>
      </c>
      <c r="AL1365" s="341">
        <v>9558.0000000000055</v>
      </c>
      <c r="AM1365" s="341">
        <v>11888.100000000015</v>
      </c>
      <c r="AN1365" s="341">
        <v>9828.0000000000055</v>
      </c>
      <c r="AO1365" s="341">
        <v>13164.588000000007</v>
      </c>
      <c r="AP1365" s="341">
        <v>13590.000000000009</v>
      </c>
      <c r="AQ1365" s="341">
        <v>13572.000000000007</v>
      </c>
      <c r="AR1365" s="341">
        <v>13104.000000000013</v>
      </c>
      <c r="AS1365" s="341">
        <v>14958.000000000005</v>
      </c>
      <c r="AT1365" s="341">
        <v>14148.000000000005</v>
      </c>
      <c r="AU1365" s="341">
        <v>13482.000000000007</v>
      </c>
      <c r="AV1365" s="341">
        <f ca="1">Calc!AE76</f>
        <v>13482.000000000007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6">
        <v>5000</v>
      </c>
      <c r="G1366" s="1196">
        <v>5000</v>
      </c>
      <c r="H1366" s="1196">
        <v>5000</v>
      </c>
      <c r="I1366" s="1196">
        <v>5000</v>
      </c>
      <c r="J1366" s="1196">
        <v>5000</v>
      </c>
      <c r="K1366" s="1196">
        <v>5000</v>
      </c>
      <c r="L1366" s="1196">
        <v>5000</v>
      </c>
      <c r="M1366" s="1196">
        <v>5000</v>
      </c>
      <c r="N1366" s="1196">
        <v>5000</v>
      </c>
      <c r="O1366" s="1196">
        <v>5000</v>
      </c>
      <c r="P1366" s="1196">
        <v>5000</v>
      </c>
      <c r="Q1366" s="1196">
        <v>5000</v>
      </c>
      <c r="R1366" s="1196">
        <v>5000</v>
      </c>
      <c r="S1366" s="1196">
        <v>5000</v>
      </c>
      <c r="T1366" s="1196">
        <v>5000</v>
      </c>
      <c r="U1366" s="1196">
        <v>5000</v>
      </c>
      <c r="V1366" s="1196">
        <v>5000</v>
      </c>
      <c r="W1366" s="1196">
        <v>3000</v>
      </c>
      <c r="X1366" s="1196">
        <v>3000</v>
      </c>
      <c r="Y1366" s="1196">
        <v>3000</v>
      </c>
      <c r="Z1366" s="1196">
        <f ca="1">Calc!G77</f>
        <v>3000</v>
      </c>
      <c r="AB1366" s="341">
        <v>-4000.0000000000036</v>
      </c>
      <c r="AC1366" s="341">
        <v>-4725.0000000000018</v>
      </c>
      <c r="AD1366" s="341">
        <v>-4725.0000000000018</v>
      </c>
      <c r="AE1366" s="341">
        <v>-5372.0000000000036</v>
      </c>
      <c r="AF1366" s="341">
        <v>-5372.0000000000036</v>
      </c>
      <c r="AG1366" s="341">
        <v>-4950.0000000000009</v>
      </c>
      <c r="AH1366" s="341">
        <v>-6425.0000000000009</v>
      </c>
      <c r="AI1366" s="341">
        <v>-6675.0000000000045</v>
      </c>
      <c r="AJ1366" s="341">
        <v>-7054.9999999999982</v>
      </c>
      <c r="AK1366" s="341">
        <v>-5875.0000000000036</v>
      </c>
      <c r="AL1366" s="341">
        <v>-6349.9999999999982</v>
      </c>
      <c r="AM1366" s="341">
        <v>-6050.0000000000045</v>
      </c>
      <c r="AN1366" s="341">
        <v>-5649.4999999999964</v>
      </c>
      <c r="AO1366" s="341">
        <v>-5599.9999999999964</v>
      </c>
      <c r="AP1366" s="341">
        <v>-5899.9999999999982</v>
      </c>
      <c r="AQ1366" s="341">
        <v>-5875.0000000000036</v>
      </c>
      <c r="AR1366" s="341">
        <v>-5000</v>
      </c>
      <c r="AS1366" s="341">
        <v>-39.999999999999147</v>
      </c>
      <c r="AT1366" s="341">
        <v>-690.00000000000125</v>
      </c>
      <c r="AU1366" s="341">
        <v>-539.99999999999909</v>
      </c>
      <c r="AV1366" s="341">
        <f ca="1">Calc!AE77</f>
        <v>-539.99999999999909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6">
        <v>0</v>
      </c>
      <c r="G1367" s="1196">
        <v>0</v>
      </c>
      <c r="H1367" s="1196">
        <v>0</v>
      </c>
      <c r="I1367" s="1196">
        <v>0</v>
      </c>
      <c r="J1367" s="1196">
        <v>0</v>
      </c>
      <c r="K1367" s="1196">
        <v>0</v>
      </c>
      <c r="L1367" s="1196">
        <v>0</v>
      </c>
      <c r="M1367" s="1196">
        <v>0</v>
      </c>
      <c r="N1367" s="1196">
        <v>0</v>
      </c>
      <c r="O1367" s="1196">
        <v>0</v>
      </c>
      <c r="P1367" s="1196">
        <v>0</v>
      </c>
      <c r="Q1367" s="1196">
        <v>0</v>
      </c>
      <c r="R1367" s="1196">
        <v>0</v>
      </c>
      <c r="S1367" s="1196">
        <v>0</v>
      </c>
      <c r="T1367" s="1196">
        <v>0</v>
      </c>
      <c r="U1367" s="1196">
        <v>0</v>
      </c>
      <c r="V1367" s="1196">
        <v>0</v>
      </c>
      <c r="W1367" s="1196">
        <v>0</v>
      </c>
      <c r="X1367" s="1196">
        <v>0</v>
      </c>
      <c r="Y1367" s="1196">
        <v>0</v>
      </c>
      <c r="Z1367" s="1196">
        <f ca="1">Calc!G78</f>
        <v>0</v>
      </c>
      <c r="AB1367" s="341">
        <v>-54800</v>
      </c>
      <c r="AC1367" s="341">
        <v>-55119.999999999993</v>
      </c>
      <c r="AD1367" s="341">
        <v>-53800</v>
      </c>
      <c r="AE1367" s="341">
        <v>-54440</v>
      </c>
      <c r="AF1367" s="341">
        <v>-54440</v>
      </c>
      <c r="AG1367" s="341">
        <v>-52640</v>
      </c>
      <c r="AH1367" s="341">
        <v>-49440</v>
      </c>
      <c r="AI1367" s="341">
        <v>-41800</v>
      </c>
      <c r="AJ1367" s="341">
        <v>-41800</v>
      </c>
      <c r="AK1367" s="341">
        <v>-43080</v>
      </c>
      <c r="AL1367" s="341">
        <v>-44080</v>
      </c>
      <c r="AM1367" s="341">
        <v>-42360</v>
      </c>
      <c r="AN1367" s="341">
        <v>-43280</v>
      </c>
      <c r="AO1367" s="341">
        <v>-44560</v>
      </c>
      <c r="AP1367" s="341">
        <v>-45679.999999999993</v>
      </c>
      <c r="AQ1367" s="341">
        <v>-45319.999999999993</v>
      </c>
      <c r="AR1367" s="341">
        <v>-46440</v>
      </c>
      <c r="AS1367" s="341">
        <v>-49440</v>
      </c>
      <c r="AT1367" s="341">
        <v>-53000</v>
      </c>
      <c r="AU1367" s="341">
        <v>-52319.999999999993</v>
      </c>
      <c r="AV1367" s="341">
        <f ca="1">Calc!AE78</f>
        <v>-52319.999999999993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6">
        <v>0</v>
      </c>
      <c r="G1368" s="1196">
        <v>0</v>
      </c>
      <c r="H1368" s="1196">
        <v>0</v>
      </c>
      <c r="I1368" s="1196">
        <v>0</v>
      </c>
      <c r="J1368" s="1196">
        <v>0</v>
      </c>
      <c r="K1368" s="1196">
        <v>0</v>
      </c>
      <c r="L1368" s="1196">
        <v>0</v>
      </c>
      <c r="M1368" s="1196">
        <v>0</v>
      </c>
      <c r="N1368" s="1196">
        <v>0</v>
      </c>
      <c r="O1368" s="1196">
        <v>0</v>
      </c>
      <c r="P1368" s="1196">
        <v>0</v>
      </c>
      <c r="Q1368" s="1196">
        <v>0</v>
      </c>
      <c r="R1368" s="1196">
        <v>0</v>
      </c>
      <c r="S1368" s="1196">
        <v>0</v>
      </c>
      <c r="T1368" s="1196">
        <v>0</v>
      </c>
      <c r="U1368" s="1196">
        <v>0</v>
      </c>
      <c r="V1368" s="1196">
        <v>0</v>
      </c>
      <c r="W1368" s="1196">
        <v>0</v>
      </c>
      <c r="X1368" s="1196">
        <v>0</v>
      </c>
      <c r="Y1368" s="1196">
        <v>0</v>
      </c>
      <c r="Z1368" s="1196">
        <f ca="1">Calc!G79</f>
        <v>0</v>
      </c>
      <c r="AB1368" s="341">
        <v>-12691.999999999996</v>
      </c>
      <c r="AC1368" s="341">
        <v>-12963.999999999998</v>
      </c>
      <c r="AD1368" s="341">
        <v>-13013.559999999996</v>
      </c>
      <c r="AE1368" s="341">
        <v>-13255.999999999995</v>
      </c>
      <c r="AF1368" s="341">
        <v>-13255.999999999995</v>
      </c>
      <c r="AG1368" s="341">
        <v>-9548.0000000000018</v>
      </c>
      <c r="AH1368" s="341">
        <v>-11012</v>
      </c>
      <c r="AI1368" s="341">
        <v>-9455.9999999999945</v>
      </c>
      <c r="AJ1368" s="341">
        <v>1794.0000000000055</v>
      </c>
      <c r="AK1368" s="341">
        <v>1631.9999999999993</v>
      </c>
      <c r="AL1368" s="341">
        <v>2795.9999999999982</v>
      </c>
      <c r="AM1368" s="341">
        <v>6716.9999999999964</v>
      </c>
      <c r="AN1368" s="341">
        <v>8180.9999999999945</v>
      </c>
      <c r="AO1368" s="341">
        <v>8862.0000000000055</v>
      </c>
      <c r="AP1368" s="341">
        <v>7037.9999999999936</v>
      </c>
      <c r="AQ1368" s="341">
        <v>3558.0000000000041</v>
      </c>
      <c r="AR1368" s="341">
        <v>4865.9999999999909</v>
      </c>
      <c r="AS1368" s="341">
        <v>2940.0000000000036</v>
      </c>
      <c r="AT1368" s="341">
        <v>1091.9999999999959</v>
      </c>
      <c r="AU1368" s="341">
        <v>3323.9999999999955</v>
      </c>
      <c r="AV1368" s="341">
        <f ca="1">Calc!AE79</f>
        <v>3323.9999999999955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6">
        <v>0</v>
      </c>
      <c r="G1369" s="1196">
        <v>0</v>
      </c>
      <c r="H1369" s="1196">
        <v>0</v>
      </c>
      <c r="I1369" s="1196">
        <v>0</v>
      </c>
      <c r="J1369" s="1196">
        <v>0</v>
      </c>
      <c r="K1369" s="1196">
        <v>0</v>
      </c>
      <c r="L1369" s="1196">
        <v>0</v>
      </c>
      <c r="M1369" s="1196">
        <v>0</v>
      </c>
      <c r="N1369" s="1196">
        <v>0</v>
      </c>
      <c r="O1369" s="1196">
        <v>0</v>
      </c>
      <c r="P1369" s="1196">
        <v>0</v>
      </c>
      <c r="Q1369" s="1196">
        <v>0</v>
      </c>
      <c r="R1369" s="1196">
        <v>0</v>
      </c>
      <c r="S1369" s="1196">
        <v>0</v>
      </c>
      <c r="T1369" s="1196">
        <v>0</v>
      </c>
      <c r="U1369" s="1196">
        <v>0</v>
      </c>
      <c r="V1369" s="1196">
        <v>0</v>
      </c>
      <c r="W1369" s="1196">
        <v>0</v>
      </c>
      <c r="X1369" s="1196">
        <v>0</v>
      </c>
      <c r="Y1369" s="1196">
        <v>0</v>
      </c>
      <c r="Z1369" s="1196">
        <f ca="1">Calc!G80</f>
        <v>0</v>
      </c>
      <c r="AB1369" s="341">
        <v>-10781.000000000005</v>
      </c>
      <c r="AC1369" s="341">
        <v>-10163.999999999998</v>
      </c>
      <c r="AD1369" s="341">
        <v>-9596.0000000000036</v>
      </c>
      <c r="AE1369" s="341">
        <v>-8958.5000000000036</v>
      </c>
      <c r="AF1369" s="341">
        <v>-8958.5000000000036</v>
      </c>
      <c r="AG1369" s="341">
        <v>-8818.0000000000073</v>
      </c>
      <c r="AH1369" s="341">
        <v>-10688.999999999998</v>
      </c>
      <c r="AI1369" s="341">
        <v>-11725</v>
      </c>
      <c r="AJ1369" s="341">
        <v>-11738.999999999998</v>
      </c>
      <c r="AK1369" s="341">
        <v>-11681.500000000005</v>
      </c>
      <c r="AL1369" s="341">
        <v>-11335.000000000002</v>
      </c>
      <c r="AM1369" s="341">
        <v>-9472.5000000000018</v>
      </c>
      <c r="AN1369" s="341">
        <v>-9434.5000000000036</v>
      </c>
      <c r="AO1369" s="341">
        <v>-9865.9999999999964</v>
      </c>
      <c r="AP1369" s="341">
        <v>-11700</v>
      </c>
      <c r="AQ1369" s="341">
        <v>-10967.000000000007</v>
      </c>
      <c r="AR1369" s="341">
        <v>-13196.000000000004</v>
      </c>
      <c r="AS1369" s="341">
        <v>-13786.000000000002</v>
      </c>
      <c r="AT1369" s="341">
        <v>-15326</v>
      </c>
      <c r="AU1369" s="341">
        <v>-14789.300000000003</v>
      </c>
      <c r="AV1369" s="341">
        <f ca="1">Calc!AE80</f>
        <v>-14789.300000000003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6">
        <v>15518</v>
      </c>
      <c r="G1370" s="1196">
        <v>15518</v>
      </c>
      <c r="H1370" s="1196">
        <v>15518</v>
      </c>
      <c r="I1370" s="1196">
        <v>15518</v>
      </c>
      <c r="J1370" s="1196">
        <v>15518</v>
      </c>
      <c r="K1370" s="1196">
        <v>15518</v>
      </c>
      <c r="L1370" s="1196">
        <v>15518</v>
      </c>
      <c r="M1370" s="1196">
        <v>15518</v>
      </c>
      <c r="N1370" s="1196">
        <v>15518</v>
      </c>
      <c r="O1370" s="1196">
        <v>15518</v>
      </c>
      <c r="P1370" s="1196">
        <v>15518</v>
      </c>
      <c r="Q1370" s="1196">
        <v>15518</v>
      </c>
      <c r="R1370" s="1196">
        <v>15518</v>
      </c>
      <c r="S1370" s="1196">
        <v>15518</v>
      </c>
      <c r="T1370" s="1196">
        <v>15518</v>
      </c>
      <c r="U1370" s="1196">
        <v>15518</v>
      </c>
      <c r="V1370" s="1196">
        <v>15518</v>
      </c>
      <c r="W1370" s="1196">
        <v>15518</v>
      </c>
      <c r="X1370" s="1196">
        <v>15518</v>
      </c>
      <c r="Y1370" s="1196">
        <v>15518</v>
      </c>
      <c r="Z1370" s="1196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6">
        <v>1200</v>
      </c>
      <c r="G1371" s="1196">
        <v>1200</v>
      </c>
      <c r="H1371" s="1196">
        <v>1200</v>
      </c>
      <c r="I1371" s="1196">
        <v>1200</v>
      </c>
      <c r="J1371" s="1196">
        <v>1200</v>
      </c>
      <c r="K1371" s="1196">
        <v>1200</v>
      </c>
      <c r="L1371" s="1196">
        <v>1200</v>
      </c>
      <c r="M1371" s="1196">
        <v>1200</v>
      </c>
      <c r="N1371" s="1196">
        <v>1200</v>
      </c>
      <c r="O1371" s="1196">
        <v>1200</v>
      </c>
      <c r="P1371" s="1196">
        <v>1200</v>
      </c>
      <c r="Q1371" s="1196">
        <v>1200</v>
      </c>
      <c r="R1371" s="1196">
        <v>1200</v>
      </c>
      <c r="S1371" s="1196">
        <v>1200</v>
      </c>
      <c r="T1371" s="1196">
        <v>1200</v>
      </c>
      <c r="U1371" s="1196">
        <v>1200</v>
      </c>
      <c r="V1371" s="1196">
        <v>1200</v>
      </c>
      <c r="W1371" s="1196">
        <v>1200</v>
      </c>
      <c r="X1371" s="1196">
        <v>1200</v>
      </c>
      <c r="Y1371" s="1196">
        <v>1200</v>
      </c>
      <c r="Z1371" s="1196">
        <f ca="1">Calc!G82</f>
        <v>1200</v>
      </c>
      <c r="AB1371" s="341">
        <v>3834.3899999999962</v>
      </c>
      <c r="AC1371" s="341">
        <v>2461.8299999999977</v>
      </c>
      <c r="AD1371" s="341">
        <v>2773.8299999999954</v>
      </c>
      <c r="AE1371" s="341">
        <v>2623.8299999999954</v>
      </c>
      <c r="AF1371" s="341">
        <v>2623.8299999999954</v>
      </c>
      <c r="AG1371" s="341">
        <v>2959.8299999999967</v>
      </c>
      <c r="AH1371" s="341">
        <v>1357.8299999999956</v>
      </c>
      <c r="AI1371" s="341">
        <v>289.82999999999493</v>
      </c>
      <c r="AJ1371" s="341">
        <v>535.82999999999288</v>
      </c>
      <c r="AK1371" s="341">
        <v>1177.8299999999972</v>
      </c>
      <c r="AL1371" s="341">
        <v>895.82999999999799</v>
      </c>
      <c r="AM1371" s="341">
        <v>2236.4699999999943</v>
      </c>
      <c r="AN1371" s="341">
        <v>1135.8299999999929</v>
      </c>
      <c r="AO1371" s="341">
        <v>1579.8299999999983</v>
      </c>
      <c r="AP1371" s="341">
        <v>3031.8299999999949</v>
      </c>
      <c r="AQ1371" s="341">
        <v>2311.8299999999977</v>
      </c>
      <c r="AR1371" s="341">
        <v>3187.8299999999981</v>
      </c>
      <c r="AS1371" s="341">
        <v>3043.8299999999972</v>
      </c>
      <c r="AT1371" s="341">
        <v>2215.8299999999954</v>
      </c>
      <c r="AU1371" s="341">
        <v>2377.8299999999972</v>
      </c>
      <c r="AV1371" s="341">
        <f ca="1">Calc!AE82</f>
        <v>2377.8299999999972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6">
        <v>200</v>
      </c>
      <c r="G1372" s="1196">
        <v>200</v>
      </c>
      <c r="H1372" s="1196">
        <v>200</v>
      </c>
      <c r="I1372" s="1196">
        <v>200</v>
      </c>
      <c r="J1372" s="1196">
        <v>200</v>
      </c>
      <c r="K1372" s="1196">
        <v>200</v>
      </c>
      <c r="L1372" s="1196">
        <v>200</v>
      </c>
      <c r="M1372" s="1196">
        <v>200</v>
      </c>
      <c r="N1372" s="1196">
        <v>200</v>
      </c>
      <c r="O1372" s="1196">
        <v>200</v>
      </c>
      <c r="P1372" s="1196">
        <v>200</v>
      </c>
      <c r="Q1372" s="1196">
        <v>200</v>
      </c>
      <c r="R1372" s="1196">
        <v>200</v>
      </c>
      <c r="S1372" s="1196">
        <v>200</v>
      </c>
      <c r="T1372" s="1196">
        <v>200</v>
      </c>
      <c r="U1372" s="1196">
        <v>200</v>
      </c>
      <c r="V1372" s="1196">
        <v>200</v>
      </c>
      <c r="W1372" s="1196">
        <v>200</v>
      </c>
      <c r="X1372" s="1196">
        <v>200</v>
      </c>
      <c r="Y1372" s="1196">
        <v>200</v>
      </c>
      <c r="Z1372" s="1196">
        <f ca="1">Calc!G83</f>
        <v>200</v>
      </c>
      <c r="AB1372" s="341">
        <v>-3012.9999999999995</v>
      </c>
      <c r="AC1372" s="341">
        <v>-3643.0000000000064</v>
      </c>
      <c r="AD1372" s="341">
        <v>-3524.0000000000009</v>
      </c>
      <c r="AE1372" s="341">
        <v>-3879.1600000000017</v>
      </c>
      <c r="AF1372" s="341">
        <v>-3879.1600000000017</v>
      </c>
      <c r="AG1372" s="341">
        <v>-4624.0000000000009</v>
      </c>
      <c r="AH1372" s="341">
        <v>-4650</v>
      </c>
      <c r="AI1372" s="341">
        <v>-4494.0000000000055</v>
      </c>
      <c r="AJ1372" s="341">
        <v>-4406.0000000000055</v>
      </c>
      <c r="AK1372" s="341">
        <v>-4363.9999999999982</v>
      </c>
      <c r="AL1372" s="341">
        <v>-4862</v>
      </c>
      <c r="AM1372" s="341">
        <v>-4005.5000000000064</v>
      </c>
      <c r="AN1372" s="341">
        <v>-4488</v>
      </c>
      <c r="AO1372" s="341">
        <v>-4661.0000000000018</v>
      </c>
      <c r="AP1372" s="341">
        <v>-4897.0000000000027</v>
      </c>
      <c r="AQ1372" s="341">
        <v>-4024.0000000000009</v>
      </c>
      <c r="AR1372" s="341">
        <v>-3709.0000000000032</v>
      </c>
      <c r="AS1372" s="341">
        <v>-3271.0000000000036</v>
      </c>
      <c r="AT1372" s="341">
        <v>-4293.0000000000064</v>
      </c>
      <c r="AU1372" s="341">
        <v>-3421.0000000000036</v>
      </c>
      <c r="AV1372" s="341">
        <f ca="1">Calc!AE83</f>
        <v>-3421.0000000000036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6">
        <v>11000</v>
      </c>
      <c r="G1373" s="1196">
        <v>11000</v>
      </c>
      <c r="H1373" s="1196">
        <v>11000</v>
      </c>
      <c r="I1373" s="1196">
        <v>11000</v>
      </c>
      <c r="J1373" s="1196">
        <v>11000</v>
      </c>
      <c r="K1373" s="1196">
        <v>11000</v>
      </c>
      <c r="L1373" s="1196">
        <v>11000</v>
      </c>
      <c r="M1373" s="1196">
        <v>11000</v>
      </c>
      <c r="N1373" s="1196">
        <v>11000</v>
      </c>
      <c r="O1373" s="1196">
        <v>11000</v>
      </c>
      <c r="P1373" s="1196">
        <v>11000</v>
      </c>
      <c r="Q1373" s="1196">
        <v>11000</v>
      </c>
      <c r="R1373" s="1196">
        <v>11000</v>
      </c>
      <c r="S1373" s="1196">
        <v>11000</v>
      </c>
      <c r="T1373" s="1196">
        <v>11000</v>
      </c>
      <c r="U1373" s="1196">
        <v>11000</v>
      </c>
      <c r="V1373" s="1196">
        <v>11000</v>
      </c>
      <c r="W1373" s="1196">
        <v>11000</v>
      </c>
      <c r="X1373" s="1196">
        <v>11000</v>
      </c>
      <c r="Y1373" s="1196">
        <v>11000</v>
      </c>
      <c r="Z1373" s="1196">
        <f ca="1">Calc!G84</f>
        <v>11000</v>
      </c>
      <c r="AB1373" s="341">
        <v>21585</v>
      </c>
      <c r="AC1373" s="341">
        <v>19710</v>
      </c>
      <c r="AD1373" s="341">
        <v>15759.999999999996</v>
      </c>
      <c r="AE1373" s="341">
        <v>19385.499999999993</v>
      </c>
      <c r="AF1373" s="341">
        <v>19385.499999999993</v>
      </c>
      <c r="AG1373" s="341">
        <v>23084.999999999996</v>
      </c>
      <c r="AH1373" s="341">
        <v>29185</v>
      </c>
      <c r="AI1373" s="341">
        <v>29284.999999999996</v>
      </c>
      <c r="AJ1373" s="341">
        <v>28884.999999999996</v>
      </c>
      <c r="AK1373" s="341">
        <v>29384.999999999993</v>
      </c>
      <c r="AL1373" s="341">
        <v>29434.999999999996</v>
      </c>
      <c r="AM1373" s="341">
        <v>29284.999999999996</v>
      </c>
      <c r="AN1373" s="341">
        <v>28985</v>
      </c>
      <c r="AO1373" s="341">
        <v>29784.999999999996</v>
      </c>
      <c r="AP1373" s="341">
        <v>27834.999999999996</v>
      </c>
      <c r="AQ1373" s="341">
        <v>28134.999999999993</v>
      </c>
      <c r="AR1373" s="341">
        <v>26984.999999999996</v>
      </c>
      <c r="AS1373" s="341">
        <v>26984.999999999996</v>
      </c>
      <c r="AT1373" s="341">
        <v>25409.999999999996</v>
      </c>
      <c r="AU1373" s="341">
        <v>26884.999999999993</v>
      </c>
      <c r="AV1373" s="341">
        <f ca="1">Calc!AE84</f>
        <v>26884.999999999993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6">
        <v>0</v>
      </c>
      <c r="G1374" s="1196">
        <v>0</v>
      </c>
      <c r="H1374" s="1196">
        <v>0</v>
      </c>
      <c r="I1374" s="1196">
        <v>0</v>
      </c>
      <c r="J1374" s="1196">
        <v>0</v>
      </c>
      <c r="K1374" s="1196">
        <v>0</v>
      </c>
      <c r="L1374" s="1196">
        <v>0</v>
      </c>
      <c r="M1374" s="1196">
        <v>0</v>
      </c>
      <c r="N1374" s="1196">
        <v>0</v>
      </c>
      <c r="O1374" s="1196">
        <v>0</v>
      </c>
      <c r="P1374" s="1196">
        <v>0</v>
      </c>
      <c r="Q1374" s="1196">
        <v>0</v>
      </c>
      <c r="R1374" s="1196">
        <v>0</v>
      </c>
      <c r="S1374" s="1196">
        <v>0</v>
      </c>
      <c r="T1374" s="1196">
        <v>0</v>
      </c>
      <c r="U1374" s="1196">
        <v>0</v>
      </c>
      <c r="V1374" s="1196">
        <v>0</v>
      </c>
      <c r="W1374" s="1196">
        <v>0</v>
      </c>
      <c r="X1374" s="1196">
        <v>0</v>
      </c>
      <c r="Y1374" s="1196">
        <v>0</v>
      </c>
      <c r="Z1374" s="1196">
        <f ca="1">Calc!G85</f>
        <v>0</v>
      </c>
      <c r="AB1374" s="341">
        <v>-7515.8000000000011</v>
      </c>
      <c r="AC1374" s="341">
        <v>-8125.8000000000038</v>
      </c>
      <c r="AD1374" s="341">
        <v>-8531.8000000000047</v>
      </c>
      <c r="AE1374" s="341">
        <v>-8801.3200000000033</v>
      </c>
      <c r="AF1374" s="341">
        <v>-8801.3200000000033</v>
      </c>
      <c r="AG1374" s="341">
        <v>-9695.8000000000029</v>
      </c>
      <c r="AH1374" s="341">
        <v>-8819.8000000000029</v>
      </c>
      <c r="AI1374" s="341">
        <v>-9451.8000000000029</v>
      </c>
      <c r="AJ1374" s="341">
        <v>-9563.8000000000029</v>
      </c>
      <c r="AK1374" s="341">
        <v>-9355.8000000000047</v>
      </c>
      <c r="AL1374" s="341">
        <v>-9415.8000000000011</v>
      </c>
      <c r="AM1374" s="341">
        <v>-9153.8000000000011</v>
      </c>
      <c r="AN1374" s="341">
        <v>-9925</v>
      </c>
      <c r="AO1374" s="341">
        <v>-10087.799999999999</v>
      </c>
      <c r="AP1374" s="341">
        <v>-10163.799999999997</v>
      </c>
      <c r="AQ1374" s="341">
        <v>-10251.799999999997</v>
      </c>
      <c r="AR1374" s="341">
        <v>-10019.800000000003</v>
      </c>
      <c r="AS1374" s="341">
        <v>-9419.8000000000029</v>
      </c>
      <c r="AT1374" s="341">
        <v>-9839.8000000000029</v>
      </c>
      <c r="AU1374" s="341">
        <v>-8445.8000000000029</v>
      </c>
      <c r="AV1374" s="341">
        <f ca="1">Calc!AE85</f>
        <v>-8445.8000000000029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6">
        <v>0</v>
      </c>
      <c r="G1375" s="1196">
        <v>0</v>
      </c>
      <c r="H1375" s="1196">
        <v>0</v>
      </c>
      <c r="I1375" s="1196">
        <v>0</v>
      </c>
      <c r="J1375" s="1196">
        <v>0</v>
      </c>
      <c r="K1375" s="1196">
        <v>0</v>
      </c>
      <c r="L1375" s="1196">
        <v>0</v>
      </c>
      <c r="M1375" s="1196">
        <v>0</v>
      </c>
      <c r="N1375" s="1196">
        <v>0</v>
      </c>
      <c r="O1375" s="1196">
        <v>0</v>
      </c>
      <c r="P1375" s="1196">
        <v>0</v>
      </c>
      <c r="Q1375" s="1196">
        <v>0</v>
      </c>
      <c r="R1375" s="1196">
        <v>0</v>
      </c>
      <c r="S1375" s="1196">
        <v>0</v>
      </c>
      <c r="T1375" s="1196">
        <v>0</v>
      </c>
      <c r="U1375" s="1196">
        <v>0</v>
      </c>
      <c r="V1375" s="1196">
        <v>0</v>
      </c>
      <c r="W1375" s="1196">
        <v>0</v>
      </c>
      <c r="X1375" s="1196">
        <v>0</v>
      </c>
      <c r="Y1375" s="1196">
        <v>0</v>
      </c>
      <c r="Z1375" s="1196">
        <f ca="1">Calc!G86</f>
        <v>0</v>
      </c>
      <c r="AB1375" s="341">
        <v>-4760.0000000000018</v>
      </c>
      <c r="AC1375" s="341">
        <v>-4840</v>
      </c>
      <c r="AD1375" s="341">
        <v>-4940.0000000000009</v>
      </c>
      <c r="AE1375" s="341">
        <v>-4710.0000000000009</v>
      </c>
      <c r="AF1375" s="341">
        <v>-4710.0000000000009</v>
      </c>
      <c r="AG1375" s="341">
        <v>-4910</v>
      </c>
      <c r="AH1375" s="341">
        <v>-4370.0000000000009</v>
      </c>
      <c r="AI1375" s="341">
        <v>-3690.0000000000014</v>
      </c>
      <c r="AJ1375" s="341">
        <v>-3660</v>
      </c>
      <c r="AK1375" s="341">
        <v>-3429.9999999999995</v>
      </c>
      <c r="AL1375" s="341">
        <v>-3710.0000000000009</v>
      </c>
      <c r="AM1375" s="341">
        <v>-3490.0000000000018</v>
      </c>
      <c r="AN1375" s="341">
        <v>-2980.0000000000005</v>
      </c>
      <c r="AO1375" s="341">
        <v>-3300.0000000000009</v>
      </c>
      <c r="AP1375" s="341">
        <v>-3300.0000000000009</v>
      </c>
      <c r="AQ1375" s="341">
        <v>-2990.0000000000018</v>
      </c>
      <c r="AR1375" s="341">
        <v>-3280.0000000000009</v>
      </c>
      <c r="AS1375" s="341">
        <v>-3380.0000000000027</v>
      </c>
      <c r="AT1375" s="341">
        <v>-3720.0000000000023</v>
      </c>
      <c r="AU1375" s="341">
        <v>-3740.0000000000018</v>
      </c>
      <c r="AV1375" s="341">
        <f ca="1">Calc!AE86</f>
        <v>-3740.0000000000018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6">
        <v>4000</v>
      </c>
      <c r="G1376" s="1196">
        <v>4000</v>
      </c>
      <c r="H1376" s="1196">
        <v>4000</v>
      </c>
      <c r="I1376" s="1196">
        <v>4000</v>
      </c>
      <c r="J1376" s="1196">
        <v>4000</v>
      </c>
      <c r="K1376" s="1196">
        <v>4000</v>
      </c>
      <c r="L1376" s="1196">
        <v>4000</v>
      </c>
      <c r="M1376" s="1196">
        <v>4000</v>
      </c>
      <c r="N1376" s="1196">
        <v>4000</v>
      </c>
      <c r="O1376" s="1196">
        <v>4000</v>
      </c>
      <c r="P1376" s="1196">
        <v>4000</v>
      </c>
      <c r="Q1376" s="1196">
        <v>4000</v>
      </c>
      <c r="R1376" s="1196">
        <v>4000</v>
      </c>
      <c r="S1376" s="1196">
        <v>4000</v>
      </c>
      <c r="T1376" s="1196">
        <v>4000</v>
      </c>
      <c r="U1376" s="1196">
        <v>4000</v>
      </c>
      <c r="V1376" s="1196">
        <v>4000</v>
      </c>
      <c r="W1376" s="1196">
        <v>4000</v>
      </c>
      <c r="X1376" s="1196">
        <v>4000</v>
      </c>
      <c r="Y1376" s="1196">
        <v>4000</v>
      </c>
      <c r="Z1376" s="1196">
        <f ca="1">Calc!G87</f>
        <v>4000</v>
      </c>
      <c r="AB1376" s="341">
        <v>7619.9999999999973</v>
      </c>
      <c r="AC1376" s="341">
        <v>7019.9999999999964</v>
      </c>
      <c r="AD1376" s="341">
        <v>7780.0999999999976</v>
      </c>
      <c r="AE1376" s="341">
        <v>7865.0000000000018</v>
      </c>
      <c r="AF1376" s="341">
        <v>7865.0000000000018</v>
      </c>
      <c r="AG1376" s="341">
        <v>7575.0000000000027</v>
      </c>
      <c r="AH1376" s="341">
        <v>5439.9999999999982</v>
      </c>
      <c r="AI1376" s="341">
        <v>5814.9999999999982</v>
      </c>
      <c r="AJ1376" s="341">
        <v>4954.9999999999982</v>
      </c>
      <c r="AK1376" s="341">
        <v>4950.0000000000027</v>
      </c>
      <c r="AL1376" s="341">
        <v>4250</v>
      </c>
      <c r="AM1376" s="341">
        <v>4039.9999999999991</v>
      </c>
      <c r="AN1376" s="341">
        <v>5106.9999999999991</v>
      </c>
      <c r="AO1376" s="341">
        <v>5560.0000000000018</v>
      </c>
      <c r="AP1376" s="341">
        <v>5250</v>
      </c>
      <c r="AQ1376" s="341">
        <v>6460.0000000000009</v>
      </c>
      <c r="AR1376" s="341">
        <v>6729.9999999999973</v>
      </c>
      <c r="AS1376" s="341">
        <v>5564.9999999999982</v>
      </c>
      <c r="AT1376" s="341">
        <v>5810.0000000000018</v>
      </c>
      <c r="AU1376" s="341">
        <v>6200.0000000000027</v>
      </c>
      <c r="AV1376" s="341">
        <f ca="1">Calc!AE87</f>
        <v>6200.0000000000027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6">
        <v>1600</v>
      </c>
      <c r="G1377" s="1196">
        <v>1600</v>
      </c>
      <c r="H1377" s="1196">
        <v>1600</v>
      </c>
      <c r="I1377" s="1196">
        <v>1600</v>
      </c>
      <c r="J1377" s="1196">
        <v>1600</v>
      </c>
      <c r="K1377" s="1196">
        <v>1600</v>
      </c>
      <c r="L1377" s="1196">
        <v>1600</v>
      </c>
      <c r="M1377" s="1196">
        <v>1600</v>
      </c>
      <c r="N1377" s="1196">
        <v>1600</v>
      </c>
      <c r="O1377" s="1196">
        <v>1600</v>
      </c>
      <c r="P1377" s="1196">
        <v>1600</v>
      </c>
      <c r="Q1377" s="1196">
        <v>1600</v>
      </c>
      <c r="R1377" s="1196">
        <v>1600</v>
      </c>
      <c r="S1377" s="1196">
        <v>1600</v>
      </c>
      <c r="T1377" s="1196">
        <v>1600</v>
      </c>
      <c r="U1377" s="1196">
        <v>1600</v>
      </c>
      <c r="V1377" s="1196">
        <v>1600</v>
      </c>
      <c r="W1377" s="1196">
        <v>1600</v>
      </c>
      <c r="X1377" s="1196">
        <v>1600</v>
      </c>
      <c r="Y1377" s="1196">
        <v>1600</v>
      </c>
      <c r="Z1377" s="1196">
        <f ca="1">Calc!G88</f>
        <v>1600</v>
      </c>
      <c r="AB1377" s="341">
        <v>9752.9220000000005</v>
      </c>
      <c r="AC1377" s="341">
        <v>9783.273000000001</v>
      </c>
      <c r="AD1377" s="341">
        <v>9582.0719999999983</v>
      </c>
      <c r="AE1377" s="341">
        <v>9217.2569999999978</v>
      </c>
      <c r="AF1377" s="341">
        <v>9217.2569999999978</v>
      </c>
      <c r="AG1377" s="341">
        <v>9099.6720000000005</v>
      </c>
      <c r="AH1377" s="341">
        <v>9592.122000000003</v>
      </c>
      <c r="AI1377" s="341">
        <v>10014.221999999998</v>
      </c>
      <c r="AJ1377" s="341">
        <v>9722.771999999999</v>
      </c>
      <c r="AK1377" s="341">
        <v>10667.472000000003</v>
      </c>
      <c r="AL1377" s="341">
        <v>10335.821999999998</v>
      </c>
      <c r="AM1377" s="341">
        <v>10208.388000000003</v>
      </c>
      <c r="AN1377" s="341">
        <v>9903.6719999999987</v>
      </c>
      <c r="AO1377" s="341">
        <v>10275.522000000003</v>
      </c>
      <c r="AP1377" s="341">
        <v>10778.022000000003</v>
      </c>
      <c r="AQ1377" s="341">
        <v>10727.771999999999</v>
      </c>
      <c r="AR1377" s="341">
        <v>10416.222000000003</v>
      </c>
      <c r="AS1377" s="341">
        <v>10677.522000000001</v>
      </c>
      <c r="AT1377" s="341">
        <v>10175.022000000001</v>
      </c>
      <c r="AU1377" s="341">
        <v>12104.622000000003</v>
      </c>
      <c r="AV1377" s="341">
        <f ca="1">Calc!AE88</f>
        <v>12104.622000000003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6">
        <v>35000</v>
      </c>
      <c r="G1378" s="1196">
        <v>35000</v>
      </c>
      <c r="H1378" s="1196">
        <v>35000</v>
      </c>
      <c r="I1378" s="1196">
        <v>35000</v>
      </c>
      <c r="J1378" s="1196">
        <v>35000</v>
      </c>
      <c r="K1378" s="1196">
        <v>35000</v>
      </c>
      <c r="L1378" s="1196">
        <v>35000</v>
      </c>
      <c r="M1378" s="1196">
        <v>35000</v>
      </c>
      <c r="N1378" s="1196">
        <v>35000</v>
      </c>
      <c r="O1378" s="1196">
        <v>35000</v>
      </c>
      <c r="P1378" s="1196">
        <v>35000</v>
      </c>
      <c r="Q1378" s="1196">
        <v>35000</v>
      </c>
      <c r="R1378" s="1196">
        <v>35000</v>
      </c>
      <c r="S1378" s="1196">
        <v>35000</v>
      </c>
      <c r="T1378" s="1196">
        <v>35000</v>
      </c>
      <c r="U1378" s="1196">
        <v>35000</v>
      </c>
      <c r="V1378" s="1196">
        <v>35000</v>
      </c>
      <c r="W1378" s="1196">
        <v>35000</v>
      </c>
      <c r="X1378" s="1196">
        <v>35000</v>
      </c>
      <c r="Y1378" s="1196">
        <v>35000</v>
      </c>
      <c r="Z1378" s="1196">
        <f ca="1">Calc!G89</f>
        <v>35000</v>
      </c>
      <c r="AB1378" s="341">
        <v>8706.3000000000011</v>
      </c>
      <c r="AC1378" s="341">
        <v>8604.9000000000015</v>
      </c>
      <c r="AD1378" s="341">
        <v>8740.2000000000007</v>
      </c>
      <c r="AE1378" s="341">
        <v>8934.9000000000015</v>
      </c>
      <c r="AF1378" s="341">
        <v>8934.9000000000015</v>
      </c>
      <c r="AG1378" s="341">
        <v>9114.9000000000015</v>
      </c>
      <c r="AH1378" s="341">
        <v>8214.9</v>
      </c>
      <c r="AI1378" s="341">
        <v>8424.9000000000015</v>
      </c>
      <c r="AJ1378" s="341">
        <v>7974.9000000000015</v>
      </c>
      <c r="AK1378" s="341">
        <v>8185.800000000002</v>
      </c>
      <c r="AL1378" s="341">
        <v>8409.9000000000015</v>
      </c>
      <c r="AM1378" s="341">
        <v>8424.9000000000015</v>
      </c>
      <c r="AN1378" s="341">
        <v>8544.3000000000011</v>
      </c>
      <c r="AO1378" s="341">
        <v>8529.9</v>
      </c>
      <c r="AP1378" s="341">
        <v>8199.9000000000015</v>
      </c>
      <c r="AQ1378" s="341">
        <v>8019.9000000000005</v>
      </c>
      <c r="AR1378" s="341">
        <v>8094.9000000000015</v>
      </c>
      <c r="AS1378" s="341">
        <v>7794.9000000000015</v>
      </c>
      <c r="AT1378" s="341">
        <v>7736.4000000000005</v>
      </c>
      <c r="AU1378" s="341">
        <v>7584.9000000000005</v>
      </c>
      <c r="AV1378" s="341">
        <f ca="1">Calc!AE89</f>
        <v>7584.9000000000005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6">
        <v>0</v>
      </c>
      <c r="G1379" s="1196">
        <v>0</v>
      </c>
      <c r="H1379" s="1196">
        <v>0</v>
      </c>
      <c r="I1379" s="1196">
        <v>0</v>
      </c>
      <c r="J1379" s="1196">
        <v>0</v>
      </c>
      <c r="K1379" s="1196">
        <v>0</v>
      </c>
      <c r="L1379" s="1196">
        <v>0</v>
      </c>
      <c r="M1379" s="1196">
        <v>0</v>
      </c>
      <c r="N1379" s="1196">
        <v>0</v>
      </c>
      <c r="O1379" s="1196">
        <v>0</v>
      </c>
      <c r="P1379" s="1196">
        <v>0</v>
      </c>
      <c r="Q1379" s="1196">
        <v>0</v>
      </c>
      <c r="R1379" s="1196">
        <v>0</v>
      </c>
      <c r="S1379" s="1196">
        <v>0</v>
      </c>
      <c r="T1379" s="1196">
        <v>0</v>
      </c>
      <c r="U1379" s="1196">
        <v>0</v>
      </c>
      <c r="V1379" s="1196">
        <v>0</v>
      </c>
      <c r="W1379" s="1196">
        <v>0</v>
      </c>
      <c r="X1379" s="1196">
        <v>0</v>
      </c>
      <c r="Y1379" s="1196">
        <v>0</v>
      </c>
      <c r="Z1379" s="1196">
        <f ca="1">Calc!G90</f>
        <v>0</v>
      </c>
      <c r="AB1379" s="341">
        <v>8994.9999999999982</v>
      </c>
      <c r="AC1379" s="341">
        <v>7044.9999999999945</v>
      </c>
      <c r="AD1379" s="341">
        <v>13895.000000000018</v>
      </c>
      <c r="AE1379" s="341">
        <v>14720.000000000013</v>
      </c>
      <c r="AF1379" s="341">
        <v>14720.000000000013</v>
      </c>
      <c r="AG1379" s="341">
        <v>13895.000000000018</v>
      </c>
      <c r="AH1379" s="341">
        <v>12295.000000000016</v>
      </c>
      <c r="AI1379" s="341">
        <v>9445.0000000000146</v>
      </c>
      <c r="AJ1379" s="341">
        <v>10045.000000000002</v>
      </c>
      <c r="AK1379" s="341">
        <v>8644.9999999999964</v>
      </c>
      <c r="AL1379" s="341">
        <v>7944.9999999999927</v>
      </c>
      <c r="AM1379" s="341">
        <v>8124.0000000000027</v>
      </c>
      <c r="AN1379" s="341">
        <v>5570.0000000000218</v>
      </c>
      <c r="AO1379" s="341">
        <v>7545.0000000000018</v>
      </c>
      <c r="AP1379" s="341">
        <v>4595.00000000002</v>
      </c>
      <c r="AQ1379" s="341">
        <v>8994.9999999999982</v>
      </c>
      <c r="AR1379" s="341">
        <v>7795.0000000000227</v>
      </c>
      <c r="AS1379" s="341">
        <v>5094.9999999999918</v>
      </c>
      <c r="AT1379" s="341">
        <v>3395.00000000001</v>
      </c>
      <c r="AU1379" s="341">
        <v>2795.0000000000232</v>
      </c>
      <c r="AV1379" s="341">
        <f ca="1">Calc!AE90</f>
        <v>2795.0000000000232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6">
        <v>0</v>
      </c>
      <c r="G1380" s="1196">
        <v>0</v>
      </c>
      <c r="H1380" s="1196">
        <v>0</v>
      </c>
      <c r="I1380" s="1196">
        <v>0</v>
      </c>
      <c r="J1380" s="1196">
        <v>0</v>
      </c>
      <c r="K1380" s="1196">
        <v>0</v>
      </c>
      <c r="L1380" s="1196">
        <v>0</v>
      </c>
      <c r="M1380" s="1196">
        <v>0</v>
      </c>
      <c r="N1380" s="1196">
        <v>0</v>
      </c>
      <c r="O1380" s="1196">
        <v>0</v>
      </c>
      <c r="P1380" s="1196">
        <v>0</v>
      </c>
      <c r="Q1380" s="1196">
        <v>0</v>
      </c>
      <c r="R1380" s="1196">
        <v>0</v>
      </c>
      <c r="S1380" s="1196">
        <v>0</v>
      </c>
      <c r="T1380" s="1196">
        <v>0</v>
      </c>
      <c r="U1380" s="1196">
        <v>0</v>
      </c>
      <c r="V1380" s="1196">
        <v>0</v>
      </c>
      <c r="W1380" s="1196">
        <v>0</v>
      </c>
      <c r="X1380" s="1196">
        <v>0</v>
      </c>
      <c r="Y1380" s="1196">
        <v>0</v>
      </c>
      <c r="Z1380" s="1196">
        <f ca="1">Calc!G91</f>
        <v>0</v>
      </c>
      <c r="AB1380" s="341">
        <v>-28540.000000000007</v>
      </c>
      <c r="AC1380" s="341">
        <v>-29420</v>
      </c>
      <c r="AD1380" s="341">
        <v>-29780.000000000015</v>
      </c>
      <c r="AE1380" s="341">
        <v>-25940.000000000011</v>
      </c>
      <c r="AF1380" s="341">
        <v>-25940.000000000011</v>
      </c>
      <c r="AG1380" s="341">
        <v>-25790.000000000007</v>
      </c>
      <c r="AH1380" s="341">
        <v>-35660.000000000007</v>
      </c>
      <c r="AI1380" s="341">
        <v>-35030.000000000015</v>
      </c>
      <c r="AJ1380" s="341">
        <v>-36280.000000000015</v>
      </c>
      <c r="AK1380" s="341">
        <v>-38019.999999999993</v>
      </c>
      <c r="AL1380" s="341">
        <v>-36760.000000000007</v>
      </c>
      <c r="AM1380" s="341">
        <v>-28519.999999999996</v>
      </c>
      <c r="AN1380" s="341">
        <v>-28299.999999999996</v>
      </c>
      <c r="AO1380" s="341">
        <v>-29060.000000000018</v>
      </c>
      <c r="AP1380" s="341">
        <v>-28980.000000000004</v>
      </c>
      <c r="AQ1380" s="341">
        <v>-29119.999999999989</v>
      </c>
      <c r="AR1380" s="341">
        <v>-28500.000000000015</v>
      </c>
      <c r="AS1380" s="341">
        <v>-24989.999999999996</v>
      </c>
      <c r="AT1380" s="341">
        <v>-25950.000000000004</v>
      </c>
      <c r="AU1380" s="341">
        <v>-23200.000000000004</v>
      </c>
      <c r="AV1380" s="341">
        <f ca="1">Calc!AE91</f>
        <v>-23200.000000000004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6">
        <v>2200</v>
      </c>
      <c r="G1381" s="1196">
        <v>2200</v>
      </c>
      <c r="H1381" s="1196">
        <v>2200</v>
      </c>
      <c r="I1381" s="1196">
        <v>2200</v>
      </c>
      <c r="J1381" s="1196">
        <v>2200</v>
      </c>
      <c r="K1381" s="1196">
        <v>2200</v>
      </c>
      <c r="L1381" s="1196">
        <v>2200</v>
      </c>
      <c r="M1381" s="1196">
        <v>2200</v>
      </c>
      <c r="N1381" s="1196">
        <v>2200</v>
      </c>
      <c r="O1381" s="1196">
        <v>2200</v>
      </c>
      <c r="P1381" s="1196">
        <v>2200</v>
      </c>
      <c r="Q1381" s="1196">
        <v>2200</v>
      </c>
      <c r="R1381" s="1196">
        <v>2200</v>
      </c>
      <c r="S1381" s="1196">
        <v>2200</v>
      </c>
      <c r="T1381" s="1196">
        <v>2200</v>
      </c>
      <c r="U1381" s="1196">
        <v>2200</v>
      </c>
      <c r="V1381" s="1196">
        <v>2200</v>
      </c>
      <c r="W1381" s="1196">
        <v>2200</v>
      </c>
      <c r="X1381" s="1196">
        <v>2200</v>
      </c>
      <c r="Y1381" s="1196">
        <v>2200</v>
      </c>
      <c r="Z1381" s="1196">
        <f ca="1">Calc!G92</f>
        <v>2200</v>
      </c>
      <c r="AB1381" s="341">
        <v>-785.75000000000159</v>
      </c>
      <c r="AC1381" s="341">
        <v>-465.49999999999443</v>
      </c>
      <c r="AD1381" s="341">
        <v>-1196.9999999999957</v>
      </c>
      <c r="AE1381" s="341">
        <v>-2575.999999999995</v>
      </c>
      <c r="AF1381" s="341">
        <v>-2575.999999999995</v>
      </c>
      <c r="AG1381" s="341">
        <v>-4486.9999999999973</v>
      </c>
      <c r="AH1381" s="341">
        <v>-3888.499999999995</v>
      </c>
      <c r="AI1381" s="341">
        <v>-3821.9999999999955</v>
      </c>
      <c r="AJ1381" s="341">
        <v>-4490.4999999999945</v>
      </c>
      <c r="AK1381" s="341">
        <v>-4611.2499999999936</v>
      </c>
      <c r="AL1381" s="341">
        <v>-5323.5000000000027</v>
      </c>
      <c r="AM1381" s="341">
        <v>-5505.1499999999951</v>
      </c>
      <c r="AN1381" s="341">
        <v>-5918.4999999999991</v>
      </c>
      <c r="AO1381" s="341">
        <v>-6226.4999999999973</v>
      </c>
      <c r="AP1381" s="341">
        <v>-8190.0000000000018</v>
      </c>
      <c r="AQ1381" s="341">
        <v>-8165.4999999999945</v>
      </c>
      <c r="AR1381" s="341">
        <v>-527.49999999999636</v>
      </c>
      <c r="AS1381" s="341">
        <v>625</v>
      </c>
      <c r="AT1381" s="341">
        <v>242.49999999999972</v>
      </c>
      <c r="AU1381" s="341">
        <v>402.50000000000341</v>
      </c>
      <c r="AV1381" s="341">
        <f ca="1">Calc!AE92</f>
        <v>402.50000000000341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6">
        <v>10</v>
      </c>
      <c r="G1382" s="1196">
        <v>10</v>
      </c>
      <c r="H1382" s="1196">
        <v>10</v>
      </c>
      <c r="I1382" s="1196">
        <v>10</v>
      </c>
      <c r="J1382" s="1196">
        <v>10</v>
      </c>
      <c r="K1382" s="1196">
        <v>10</v>
      </c>
      <c r="L1382" s="1196">
        <v>10</v>
      </c>
      <c r="M1382" s="1196">
        <v>10</v>
      </c>
      <c r="N1382" s="1196">
        <v>10</v>
      </c>
      <c r="O1382" s="1196">
        <v>10</v>
      </c>
      <c r="P1382" s="1196">
        <v>10</v>
      </c>
      <c r="Q1382" s="1196">
        <v>10</v>
      </c>
      <c r="R1382" s="1196">
        <v>10</v>
      </c>
      <c r="S1382" s="1196">
        <v>10</v>
      </c>
      <c r="T1382" s="1196">
        <v>10</v>
      </c>
      <c r="U1382" s="1196">
        <v>10</v>
      </c>
      <c r="V1382" s="1196">
        <v>10</v>
      </c>
      <c r="W1382" s="1196">
        <v>10</v>
      </c>
      <c r="X1382" s="1196">
        <v>10</v>
      </c>
      <c r="Y1382" s="1196">
        <v>10</v>
      </c>
      <c r="Z1382" s="1196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6">
        <v>17000</v>
      </c>
      <c r="G1383" s="1196">
        <v>17000</v>
      </c>
      <c r="H1383" s="1196">
        <v>17000</v>
      </c>
      <c r="I1383" s="1196">
        <v>17000</v>
      </c>
      <c r="J1383" s="1196">
        <v>17000</v>
      </c>
      <c r="K1383" s="1196">
        <v>17000</v>
      </c>
      <c r="L1383" s="1196">
        <v>17000</v>
      </c>
      <c r="M1383" s="1196">
        <v>17000</v>
      </c>
      <c r="N1383" s="1196">
        <v>17000</v>
      </c>
      <c r="O1383" s="1196">
        <v>17000</v>
      </c>
      <c r="P1383" s="1196">
        <v>17000</v>
      </c>
      <c r="Q1383" s="1196">
        <v>17000</v>
      </c>
      <c r="R1383" s="1196">
        <v>17000</v>
      </c>
      <c r="S1383" s="1196">
        <v>17000</v>
      </c>
      <c r="T1383" s="1196">
        <v>17000</v>
      </c>
      <c r="U1383" s="1196">
        <v>17000</v>
      </c>
      <c r="V1383" s="1196">
        <v>17000</v>
      </c>
      <c r="W1383" s="1196">
        <v>17000</v>
      </c>
      <c r="X1383" s="1196">
        <v>17000</v>
      </c>
      <c r="Y1383" s="1196">
        <v>17000</v>
      </c>
      <c r="Z1383" s="1196">
        <f ca="1">Calc!G94</f>
        <v>17000</v>
      </c>
      <c r="AB1383" s="341">
        <v>416.4000000000101</v>
      </c>
      <c r="AC1383" s="341">
        <v>1091.400000000009</v>
      </c>
      <c r="AD1383" s="341">
        <v>1766.400000000008</v>
      </c>
      <c r="AE1383" s="341">
        <v>1866.4000000000058</v>
      </c>
      <c r="AF1383" s="341">
        <v>1866.4000000000058</v>
      </c>
      <c r="AG1383" s="341">
        <v>2266.400000000006</v>
      </c>
      <c r="AH1383" s="341">
        <v>3266.4000000000115</v>
      </c>
      <c r="AI1383" s="341">
        <v>2491.400000000006</v>
      </c>
      <c r="AJ1383" s="341">
        <v>1966.4000000000037</v>
      </c>
      <c r="AK1383" s="341">
        <v>2766.4000000000042</v>
      </c>
      <c r="AL1383" s="341">
        <v>4816.4000000000051</v>
      </c>
      <c r="AM1383" s="341">
        <v>6966.4000000000033</v>
      </c>
      <c r="AN1383" s="341">
        <v>7316.4000000000051</v>
      </c>
      <c r="AO1383" s="341">
        <v>5266.4000000000042</v>
      </c>
      <c r="AP1383" s="341">
        <v>5141.4000000000115</v>
      </c>
      <c r="AQ1383" s="341">
        <v>3616.4000000000042</v>
      </c>
      <c r="AR1383" s="341">
        <v>3816.4000000000087</v>
      </c>
      <c r="AS1383" s="341">
        <v>3691.4000000000069</v>
      </c>
      <c r="AT1383" s="341">
        <v>3866.4000000000078</v>
      </c>
      <c r="AU1383" s="341">
        <v>2716.4000000000055</v>
      </c>
      <c r="AV1383" s="341">
        <f ca="1">Calc!AE94</f>
        <v>2716.4000000000055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6">
        <v>77100</v>
      </c>
      <c r="G1384" s="1196">
        <v>77100</v>
      </c>
      <c r="H1384" s="1196">
        <v>77100</v>
      </c>
      <c r="I1384" s="1196">
        <v>77100</v>
      </c>
      <c r="J1384" s="1196">
        <v>77100</v>
      </c>
      <c r="K1384" s="1196">
        <v>77100</v>
      </c>
      <c r="L1384" s="1196">
        <v>77100</v>
      </c>
      <c r="M1384" s="1196">
        <v>77100</v>
      </c>
      <c r="N1384" s="1196">
        <v>77100</v>
      </c>
      <c r="O1384" s="1196">
        <v>77100</v>
      </c>
      <c r="P1384" s="1196">
        <v>77100</v>
      </c>
      <c r="Q1384" s="1196">
        <v>77100</v>
      </c>
      <c r="R1384" s="1196">
        <v>77100</v>
      </c>
      <c r="S1384" s="1196">
        <v>77100</v>
      </c>
      <c r="T1384" s="1196">
        <v>77100</v>
      </c>
      <c r="U1384" s="1196">
        <v>77100</v>
      </c>
      <c r="V1384" s="1196">
        <v>77100</v>
      </c>
      <c r="W1384" s="1196">
        <v>77100</v>
      </c>
      <c r="X1384" s="1196">
        <v>77100</v>
      </c>
      <c r="Y1384" s="1196">
        <v>77100</v>
      </c>
      <c r="Z1384" s="1196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45887</v>
      </c>
      <c r="G1389" s="128">
        <f t="shared" si="95"/>
        <v>45888</v>
      </c>
      <c r="H1389" s="128">
        <f t="shared" si="95"/>
        <v>45889</v>
      </c>
      <c r="I1389" s="128">
        <f t="shared" si="95"/>
        <v>45890</v>
      </c>
      <c r="J1389" s="128">
        <f t="shared" si="95"/>
        <v>45891</v>
      </c>
      <c r="K1389" s="128">
        <f t="shared" si="95"/>
        <v>45894</v>
      </c>
      <c r="L1389" s="128">
        <f t="shared" si="95"/>
        <v>45895</v>
      </c>
      <c r="M1389" s="128">
        <f t="shared" si="95"/>
        <v>45896</v>
      </c>
      <c r="N1389" s="128">
        <f t="shared" si="95"/>
        <v>45897</v>
      </c>
      <c r="O1389" s="128">
        <f t="shared" si="95"/>
        <v>45898</v>
      </c>
      <c r="P1389" s="128">
        <f t="shared" si="95"/>
        <v>45901</v>
      </c>
      <c r="Q1389" s="128">
        <f t="shared" si="95"/>
        <v>45902</v>
      </c>
      <c r="R1389" s="128">
        <f t="shared" si="95"/>
        <v>45903</v>
      </c>
      <c r="S1389" s="128">
        <f t="shared" si="95"/>
        <v>45904</v>
      </c>
      <c r="T1389" s="128">
        <f t="shared" si="95"/>
        <v>45905</v>
      </c>
      <c r="U1389" s="128">
        <f t="shared" si="95"/>
        <v>45908</v>
      </c>
      <c r="V1389" s="128">
        <f t="shared" si="95"/>
        <v>45909</v>
      </c>
      <c r="W1389" s="128">
        <f t="shared" si="95"/>
        <v>45910</v>
      </c>
      <c r="X1389" s="128">
        <f t="shared" si="95"/>
        <v>45911</v>
      </c>
      <c r="Y1389" s="128">
        <f t="shared" si="95"/>
        <v>45912</v>
      </c>
      <c r="Z1389" s="128">
        <f t="shared" ca="1" si="95"/>
        <v>45912</v>
      </c>
      <c r="AB1389" s="128">
        <f t="shared" ref="AB1389:AV1389" si="96">F1290</f>
        <v>45887</v>
      </c>
      <c r="AC1389" s="128">
        <f t="shared" si="96"/>
        <v>45888</v>
      </c>
      <c r="AD1389" s="128">
        <f t="shared" si="96"/>
        <v>45889</v>
      </c>
      <c r="AE1389" s="128">
        <f t="shared" si="96"/>
        <v>45890</v>
      </c>
      <c r="AF1389" s="128">
        <f t="shared" si="96"/>
        <v>45891</v>
      </c>
      <c r="AG1389" s="128">
        <f t="shared" si="96"/>
        <v>45894</v>
      </c>
      <c r="AH1389" s="128">
        <f t="shared" si="96"/>
        <v>45895</v>
      </c>
      <c r="AI1389" s="128">
        <f t="shared" si="96"/>
        <v>45896</v>
      </c>
      <c r="AJ1389" s="128">
        <f t="shared" si="96"/>
        <v>45897</v>
      </c>
      <c r="AK1389" s="128">
        <f t="shared" si="96"/>
        <v>45898</v>
      </c>
      <c r="AL1389" s="128">
        <f t="shared" si="96"/>
        <v>45901</v>
      </c>
      <c r="AM1389" s="128">
        <f t="shared" si="96"/>
        <v>45902</v>
      </c>
      <c r="AN1389" s="128">
        <f t="shared" si="96"/>
        <v>45903</v>
      </c>
      <c r="AO1389" s="128">
        <f t="shared" si="96"/>
        <v>45904</v>
      </c>
      <c r="AP1389" s="128">
        <f t="shared" si="96"/>
        <v>45905</v>
      </c>
      <c r="AQ1389" s="128">
        <f t="shared" si="96"/>
        <v>45908</v>
      </c>
      <c r="AR1389" s="128">
        <f t="shared" si="96"/>
        <v>45909</v>
      </c>
      <c r="AS1389" s="128">
        <f t="shared" si="96"/>
        <v>45910</v>
      </c>
      <c r="AT1389" s="128">
        <f t="shared" si="96"/>
        <v>45911</v>
      </c>
      <c r="AU1389" s="128">
        <f t="shared" si="96"/>
        <v>45912</v>
      </c>
      <c r="AV1389" s="128">
        <f t="shared" ca="1" si="96"/>
        <v>45912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1.1096999999999999</v>
      </c>
      <c r="G1391" s="263">
        <v>1.1096999999999999</v>
      </c>
      <c r="H1391" s="263">
        <v>1.1072</v>
      </c>
      <c r="I1391" s="263">
        <v>1.107</v>
      </c>
      <c r="J1391" s="263">
        <v>1.107</v>
      </c>
      <c r="K1391" s="263">
        <v>1.1026</v>
      </c>
      <c r="L1391" s="263">
        <v>1.1077999999999999</v>
      </c>
      <c r="M1391" s="263">
        <v>1.1052999999999999</v>
      </c>
      <c r="N1391" s="263">
        <v>1.1083000000000001</v>
      </c>
      <c r="O1391" s="263">
        <v>1.1101000000000001</v>
      </c>
      <c r="P1391" s="263">
        <v>1.1086</v>
      </c>
      <c r="Q1391" s="263">
        <v>1.1086</v>
      </c>
      <c r="R1391" s="263">
        <v>1.0844</v>
      </c>
      <c r="S1391" s="263">
        <v>1.0807</v>
      </c>
      <c r="T1391" s="263">
        <v>1.0827</v>
      </c>
      <c r="U1391" s="263">
        <v>1.0818000000000001</v>
      </c>
      <c r="V1391" s="263">
        <v>1.0829</v>
      </c>
      <c r="W1391" s="263">
        <v>1.0838000000000001</v>
      </c>
      <c r="X1391" s="263">
        <v>1.0841000000000001</v>
      </c>
      <c r="Y1391" s="263">
        <v>1.0819000000000001</v>
      </c>
      <c r="Z1391" s="265">
        <f ca="1">[1]ExtEntry!$R3</f>
        <v>1.0819000000000001</v>
      </c>
      <c r="AB1391" s="341">
        <v>1416298</v>
      </c>
      <c r="AC1391" s="341">
        <v>1410564</v>
      </c>
      <c r="AD1391" s="341">
        <v>1409161</v>
      </c>
      <c r="AE1391" s="341">
        <v>1403732</v>
      </c>
      <c r="AF1391" s="341">
        <v>1403732</v>
      </c>
      <c r="AG1391" s="341">
        <v>1378661</v>
      </c>
      <c r="AH1391" s="341">
        <v>1385676</v>
      </c>
      <c r="AI1391" s="341">
        <v>1398791</v>
      </c>
      <c r="AJ1391" s="341">
        <v>1405989</v>
      </c>
      <c r="AK1391" s="341">
        <v>1411539.3900000001</v>
      </c>
      <c r="AL1391" s="341">
        <v>1416054</v>
      </c>
      <c r="AM1391" s="341">
        <v>1388236.78</v>
      </c>
      <c r="AN1391" s="341">
        <v>1440791.94</v>
      </c>
      <c r="AO1391" s="341">
        <v>1454667</v>
      </c>
      <c r="AP1391" s="341">
        <v>1462658</v>
      </c>
      <c r="AQ1391" s="341">
        <v>1451068</v>
      </c>
      <c r="AR1391" s="341">
        <v>1429535</v>
      </c>
      <c r="AS1391" s="341">
        <v>1383419</v>
      </c>
      <c r="AT1391" s="341">
        <v>1336349</v>
      </c>
      <c r="AU1391" s="341">
        <v>1357606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1357606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2.5331000000000001</v>
      </c>
      <c r="G1392" s="271">
        <v>2.5316999999999998</v>
      </c>
      <c r="H1392" s="271">
        <v>2.5303</v>
      </c>
      <c r="I1392" s="271">
        <v>2.5308000000000002</v>
      </c>
      <c r="J1392" s="271">
        <v>2.5308000000000002</v>
      </c>
      <c r="K1392" s="271">
        <v>2.5257999999999998</v>
      </c>
      <c r="L1392" s="271">
        <v>2.5348000000000002</v>
      </c>
      <c r="M1392" s="271">
        <v>2.5308999999999999</v>
      </c>
      <c r="N1392" s="271">
        <v>2.5337999999999998</v>
      </c>
      <c r="O1392" s="271">
        <v>2.5369000000000002</v>
      </c>
      <c r="P1392" s="271">
        <v>2.5346000000000002</v>
      </c>
      <c r="Q1392" s="271">
        <v>2.5346000000000002</v>
      </c>
      <c r="R1392" s="271">
        <v>2.5301999999999998</v>
      </c>
      <c r="S1392" s="271">
        <v>2.5283000000000002</v>
      </c>
      <c r="T1392" s="271">
        <v>2.5308000000000002</v>
      </c>
      <c r="U1392" s="271">
        <v>2.5304000000000002</v>
      </c>
      <c r="V1392" s="271">
        <v>2.5308999999999999</v>
      </c>
      <c r="W1392" s="271">
        <v>2.5308999999999999</v>
      </c>
      <c r="X1392" s="271">
        <v>2.5314000000000001</v>
      </c>
      <c r="Y1392" s="271">
        <v>2.5303</v>
      </c>
      <c r="Z1392" s="273">
        <f ca="1">[1]ExtEntry!$R4</f>
        <v>2.5303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1.1161000000000001</v>
      </c>
      <c r="G1393" s="263">
        <v>1.1194999999999999</v>
      </c>
      <c r="H1393" s="263">
        <v>1.1297999999999999</v>
      </c>
      <c r="I1393" s="263">
        <v>1.1213</v>
      </c>
      <c r="J1393" s="263">
        <v>1.1213</v>
      </c>
      <c r="K1393" s="263">
        <v>1.1224000000000001</v>
      </c>
      <c r="L1393" s="263">
        <v>1.1062000000000001</v>
      </c>
      <c r="M1393" s="263">
        <v>1.1062000000000001</v>
      </c>
      <c r="N1393" s="263">
        <v>1.1112</v>
      </c>
      <c r="O1393" s="263">
        <v>1.1115999999999999</v>
      </c>
      <c r="P1393" s="263">
        <v>1.1132</v>
      </c>
      <c r="Q1393" s="263">
        <v>1.1469</v>
      </c>
      <c r="R1393" s="263">
        <v>1.1329</v>
      </c>
      <c r="S1393" s="263">
        <v>1.1329</v>
      </c>
      <c r="T1393" s="263">
        <v>1.1371</v>
      </c>
      <c r="U1393" s="263">
        <v>1.1366000000000001</v>
      </c>
      <c r="V1393" s="263">
        <v>1.1388</v>
      </c>
      <c r="W1393" s="263">
        <v>1.1429</v>
      </c>
      <c r="X1393" s="263">
        <v>1.1475</v>
      </c>
      <c r="Y1393" s="263">
        <v>1.1531</v>
      </c>
      <c r="Z1393" s="265">
        <f ca="1">[1]ExtEntry!$R5</f>
        <v>1.1531</v>
      </c>
      <c r="AB1393" s="341">
        <v>177840</v>
      </c>
      <c r="AC1393" s="341">
        <v>174686</v>
      </c>
      <c r="AD1393" s="341">
        <v>175560</v>
      </c>
      <c r="AE1393" s="341">
        <v>176700</v>
      </c>
      <c r="AF1393" s="341">
        <v>176700</v>
      </c>
      <c r="AG1393" s="341">
        <v>174040</v>
      </c>
      <c r="AH1393" s="341">
        <v>185060</v>
      </c>
      <c r="AI1393" s="341">
        <v>186200</v>
      </c>
      <c r="AJ1393" s="341">
        <v>183920</v>
      </c>
      <c r="AK1393" s="341">
        <v>184195.88</v>
      </c>
      <c r="AL1393" s="341">
        <v>194196.72</v>
      </c>
      <c r="AM1393" s="341">
        <v>197600</v>
      </c>
      <c r="AN1393" s="341">
        <v>195320</v>
      </c>
      <c r="AO1393" s="341">
        <v>192280</v>
      </c>
      <c r="AP1393" s="341">
        <v>205200</v>
      </c>
      <c r="AQ1393" s="341">
        <v>209000</v>
      </c>
      <c r="AR1393" s="341">
        <v>207480</v>
      </c>
      <c r="AS1393" s="341">
        <v>196080</v>
      </c>
      <c r="AT1393" s="341">
        <v>194560</v>
      </c>
      <c r="AU1393" s="341">
        <v>195320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195320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1.3075000000000001</v>
      </c>
      <c r="G1394" s="271">
        <v>1.3092999999999999</v>
      </c>
      <c r="H1394" s="271">
        <v>1.3103</v>
      </c>
      <c r="I1394" s="271">
        <v>1.3104</v>
      </c>
      <c r="J1394" s="271">
        <v>1.3104</v>
      </c>
      <c r="K1394" s="271">
        <v>1.3117000000000001</v>
      </c>
      <c r="L1394" s="271">
        <v>1.3087</v>
      </c>
      <c r="M1394" s="271">
        <v>1.3103</v>
      </c>
      <c r="N1394" s="271">
        <v>1.3088</v>
      </c>
      <c r="O1394" s="271">
        <v>1.3078000000000001</v>
      </c>
      <c r="P1394" s="271">
        <v>1.3091999999999999</v>
      </c>
      <c r="Q1394" s="271">
        <v>1.3091999999999999</v>
      </c>
      <c r="R1394" s="271">
        <v>1.2968</v>
      </c>
      <c r="S1394" s="271">
        <v>1.2971999999999999</v>
      </c>
      <c r="T1394" s="271">
        <v>1.2954000000000001</v>
      </c>
      <c r="U1394" s="271">
        <v>1.2955000000000001</v>
      </c>
      <c r="V1394" s="271">
        <v>1.2950999999999999</v>
      </c>
      <c r="W1394" s="271">
        <v>1.2955000000000001</v>
      </c>
      <c r="X1394" s="271">
        <v>1.2966</v>
      </c>
      <c r="Y1394" s="271">
        <v>1.2957000000000001</v>
      </c>
      <c r="Z1394" s="273">
        <f ca="1">[1]ExtEntry!$R6</f>
        <v>1.2957000000000001</v>
      </c>
      <c r="AB1394" s="341">
        <v>970003.44000000006</v>
      </c>
      <c r="AC1394" s="341">
        <v>972636</v>
      </c>
      <c r="AD1394" s="341">
        <v>966840</v>
      </c>
      <c r="AE1394" s="341">
        <v>955500</v>
      </c>
      <c r="AF1394" s="341">
        <v>955500</v>
      </c>
      <c r="AG1394" s="341">
        <v>940002</v>
      </c>
      <c r="AH1394" s="341">
        <v>957348</v>
      </c>
      <c r="AI1394" s="341">
        <v>960582</v>
      </c>
      <c r="AJ1394" s="341">
        <v>962304</v>
      </c>
      <c r="AK1394" s="341">
        <v>976697.82</v>
      </c>
      <c r="AL1394" s="341">
        <v>961800</v>
      </c>
      <c r="AM1394" s="341">
        <v>933966.17999999993</v>
      </c>
      <c r="AN1394" s="341">
        <v>949116</v>
      </c>
      <c r="AO1394" s="341">
        <v>949158</v>
      </c>
      <c r="AP1394" s="341">
        <v>989856</v>
      </c>
      <c r="AQ1394" s="341">
        <v>990528</v>
      </c>
      <c r="AR1394" s="341">
        <v>1000608</v>
      </c>
      <c r="AS1394" s="341">
        <v>967386</v>
      </c>
      <c r="AT1394" s="341">
        <v>966609</v>
      </c>
      <c r="AU1394" s="341">
        <v>958230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958230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0.95740000000000003</v>
      </c>
      <c r="G1395" s="263">
        <v>0.96179999999999999</v>
      </c>
      <c r="H1395" s="263">
        <v>0.96650000000000003</v>
      </c>
      <c r="I1395" s="263">
        <v>0.96950000000000003</v>
      </c>
      <c r="J1395" s="263">
        <v>0.96950000000000003</v>
      </c>
      <c r="K1395" s="263">
        <v>0.96679999999999999</v>
      </c>
      <c r="L1395" s="263">
        <v>0.96830000000000005</v>
      </c>
      <c r="M1395" s="263">
        <v>0.96619999999999995</v>
      </c>
      <c r="N1395" s="263">
        <v>0.96450000000000002</v>
      </c>
      <c r="O1395" s="263">
        <v>0.95879999999999999</v>
      </c>
      <c r="P1395" s="263">
        <v>0.96</v>
      </c>
      <c r="Q1395" s="263">
        <v>0.99380000000000002</v>
      </c>
      <c r="R1395" s="263">
        <v>0.99370000000000003</v>
      </c>
      <c r="S1395" s="263">
        <v>0.99370000000000003</v>
      </c>
      <c r="T1395" s="263">
        <v>0.99529999999999996</v>
      </c>
      <c r="U1395" s="263">
        <v>0.99280000000000002</v>
      </c>
      <c r="V1395" s="263">
        <v>0.99419999999999997</v>
      </c>
      <c r="W1395" s="263">
        <v>0.99380000000000002</v>
      </c>
      <c r="X1395" s="263">
        <v>0.99370000000000003</v>
      </c>
      <c r="Y1395" s="263">
        <v>0.99399999999999999</v>
      </c>
      <c r="Z1395" s="265">
        <f ca="1">[1]ExtEntry!$R7</f>
        <v>0.99399999999999999</v>
      </c>
      <c r="AB1395" s="341">
        <v>78672</v>
      </c>
      <c r="AC1395" s="341">
        <v>77033</v>
      </c>
      <c r="AD1395" s="341">
        <v>78672</v>
      </c>
      <c r="AE1395" s="341">
        <v>77688.599999999991</v>
      </c>
      <c r="AF1395" s="341">
        <v>77688.599999999991</v>
      </c>
      <c r="AG1395" s="341">
        <v>77033</v>
      </c>
      <c r="AH1395" s="341">
        <v>75230.100000000006</v>
      </c>
      <c r="AI1395" s="341">
        <v>74574.5</v>
      </c>
      <c r="AJ1395" s="341">
        <v>75230.100000000006</v>
      </c>
      <c r="AK1395" s="341">
        <v>75230.100000000006</v>
      </c>
      <c r="AL1395" s="341">
        <v>74738.400000000009</v>
      </c>
      <c r="AM1395" s="341">
        <v>73755</v>
      </c>
      <c r="AN1395" s="341">
        <v>76049.600000000006</v>
      </c>
      <c r="AO1395" s="341">
        <v>73755</v>
      </c>
      <c r="AP1395" s="341">
        <v>73099.399999999994</v>
      </c>
      <c r="AQ1395" s="341">
        <v>72935.5</v>
      </c>
      <c r="AR1395" s="341">
        <v>73918.900000000009</v>
      </c>
      <c r="AS1395" s="341">
        <v>74410.600000000006</v>
      </c>
      <c r="AT1395" s="341">
        <v>72771.600000000006</v>
      </c>
      <c r="AU1395" s="341">
        <v>72935.5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72935.5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1.8625</v>
      </c>
      <c r="G1396" s="271">
        <v>1.8665</v>
      </c>
      <c r="H1396" s="271">
        <v>1.8663000000000001</v>
      </c>
      <c r="I1396" s="271">
        <v>1.8635999999999999</v>
      </c>
      <c r="J1396" s="271">
        <v>1.8635999999999999</v>
      </c>
      <c r="K1396" s="271">
        <v>1.8638999999999999</v>
      </c>
      <c r="L1396" s="271">
        <v>1.871</v>
      </c>
      <c r="M1396" s="271">
        <v>1.8733</v>
      </c>
      <c r="N1396" s="271">
        <v>1.8727</v>
      </c>
      <c r="O1396" s="271">
        <v>1.8681000000000001</v>
      </c>
      <c r="P1396" s="271">
        <v>1.8695999999999999</v>
      </c>
      <c r="Q1396" s="271">
        <v>1.8656999999999999</v>
      </c>
      <c r="R1396" s="271">
        <v>1.8684000000000001</v>
      </c>
      <c r="S1396" s="271">
        <v>1.8684000000000001</v>
      </c>
      <c r="T1396" s="271">
        <v>1.8594999999999999</v>
      </c>
      <c r="U1396" s="271">
        <v>1.8642000000000001</v>
      </c>
      <c r="V1396" s="271">
        <v>1.8617999999999999</v>
      </c>
      <c r="W1396" s="271">
        <v>1.8655999999999999</v>
      </c>
      <c r="X1396" s="271">
        <v>1.8671</v>
      </c>
      <c r="Y1396" s="271">
        <v>1.8632</v>
      </c>
      <c r="Z1396" s="273">
        <f ca="1">[1]ExtEntry!$R8</f>
        <v>1.8632</v>
      </c>
      <c r="AB1396" s="341">
        <v>3535950</v>
      </c>
      <c r="AC1396" s="341">
        <v>3502950</v>
      </c>
      <c r="AD1396" s="341">
        <v>3495800</v>
      </c>
      <c r="AE1396" s="341">
        <v>3532649.9999999995</v>
      </c>
      <c r="AF1396" s="341">
        <v>3532649.9999999995</v>
      </c>
      <c r="AG1396" s="341">
        <v>3510100.0000000005</v>
      </c>
      <c r="AH1396" s="341">
        <v>2910150</v>
      </c>
      <c r="AI1396" s="341">
        <v>2927700</v>
      </c>
      <c r="AJ1396" s="341">
        <v>2970900</v>
      </c>
      <c r="AK1396" s="341">
        <v>2945250</v>
      </c>
      <c r="AL1396" s="341">
        <v>2861100</v>
      </c>
      <c r="AM1396" s="341">
        <v>3085000</v>
      </c>
      <c r="AN1396" s="341">
        <v>3150500</v>
      </c>
      <c r="AO1396" s="341">
        <v>3167000</v>
      </c>
      <c r="AP1396" s="341">
        <v>3312500</v>
      </c>
      <c r="AQ1396" s="341">
        <v>3247680</v>
      </c>
      <c r="AR1396" s="341">
        <v>3279360</v>
      </c>
      <c r="AS1396" s="341">
        <v>3264960</v>
      </c>
      <c r="AT1396" s="341">
        <v>3292800</v>
      </c>
      <c r="AU1396" s="341">
        <v>3311040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3311040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0.38250000000000001</v>
      </c>
      <c r="G1397" s="271">
        <v>0.3831</v>
      </c>
      <c r="H1397" s="271">
        <v>0.3821</v>
      </c>
      <c r="I1397" s="271">
        <v>0.3821</v>
      </c>
      <c r="J1397" s="271">
        <v>0.3821</v>
      </c>
      <c r="K1397" s="271">
        <v>0.37859999999999999</v>
      </c>
      <c r="L1397" s="271">
        <v>0.38540000000000002</v>
      </c>
      <c r="M1397" s="271">
        <v>0.38140000000000002</v>
      </c>
      <c r="N1397" s="271">
        <v>0.38440000000000002</v>
      </c>
      <c r="O1397" s="271">
        <v>0.38579999999999998</v>
      </c>
      <c r="P1397" s="271">
        <v>0.38369999999999999</v>
      </c>
      <c r="Q1397" s="271">
        <v>0.38369999999999999</v>
      </c>
      <c r="R1397" s="271">
        <v>0.37919999999999998</v>
      </c>
      <c r="S1397" s="271">
        <v>0.37919999999999998</v>
      </c>
      <c r="T1397" s="271">
        <v>0.37880000000000003</v>
      </c>
      <c r="U1397" s="271">
        <v>0.37840000000000001</v>
      </c>
      <c r="V1397" s="271">
        <v>0.37880000000000003</v>
      </c>
      <c r="W1397" s="271">
        <v>0.37930000000000003</v>
      </c>
      <c r="X1397" s="271">
        <v>0.37959999999999999</v>
      </c>
      <c r="Y1397" s="271">
        <v>0.37990000000000002</v>
      </c>
      <c r="Z1397" s="273">
        <f ca="1">[1]ExtEntry!$R9</f>
        <v>0.37990000000000002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1.7562</v>
      </c>
      <c r="G1398" s="271">
        <v>1.7543</v>
      </c>
      <c r="H1398" s="271">
        <v>1.7715000000000001</v>
      </c>
      <c r="I1398" s="271">
        <v>1.7712000000000001</v>
      </c>
      <c r="J1398" s="271">
        <v>1.7712000000000001</v>
      </c>
      <c r="K1398" s="271">
        <v>1.7665</v>
      </c>
      <c r="L1398" s="271">
        <v>1.7774000000000001</v>
      </c>
      <c r="M1398" s="271">
        <v>1.7816000000000001</v>
      </c>
      <c r="N1398" s="271">
        <v>1.7879</v>
      </c>
      <c r="O1398" s="271">
        <v>1.7816000000000001</v>
      </c>
      <c r="P1398" s="271">
        <v>1.7754000000000001</v>
      </c>
      <c r="Q1398" s="271">
        <v>1.7754000000000001</v>
      </c>
      <c r="R1398" s="271">
        <v>1.7788999999999999</v>
      </c>
      <c r="S1398" s="271">
        <v>1.7788999999999999</v>
      </c>
      <c r="T1398" s="271">
        <v>1.7806999999999999</v>
      </c>
      <c r="U1398" s="271">
        <v>1.7793000000000001</v>
      </c>
      <c r="V1398" s="271">
        <v>1.7773000000000001</v>
      </c>
      <c r="W1398" s="271">
        <v>1.7765</v>
      </c>
      <c r="X1398" s="271">
        <v>1.7774000000000001</v>
      </c>
      <c r="Y1398" s="271">
        <v>1.7826</v>
      </c>
      <c r="Z1398" s="273">
        <f ca="1">[1]ExtEntry!$R10</f>
        <v>1.7826</v>
      </c>
      <c r="AB1398" s="341">
        <v>28560</v>
      </c>
      <c r="AC1398" s="341">
        <v>30068.799999999999</v>
      </c>
      <c r="AD1398" s="341">
        <v>31520</v>
      </c>
      <c r="AE1398" s="341">
        <v>31120</v>
      </c>
      <c r="AF1398" s="341">
        <v>31120</v>
      </c>
      <c r="AG1398" s="341">
        <v>30400</v>
      </c>
      <c r="AH1398" s="341">
        <v>32159.999999999996</v>
      </c>
      <c r="AI1398" s="341">
        <v>32960</v>
      </c>
      <c r="AJ1398" s="341">
        <v>32320</v>
      </c>
      <c r="AK1398" s="341">
        <v>32779.200000000004</v>
      </c>
      <c r="AL1398" s="341">
        <v>32320</v>
      </c>
      <c r="AM1398" s="341">
        <v>30080</v>
      </c>
      <c r="AN1398" s="341">
        <v>30398.399999999998</v>
      </c>
      <c r="AO1398" s="341">
        <v>30240</v>
      </c>
      <c r="AP1398" s="341">
        <v>29600</v>
      </c>
      <c r="AQ1398" s="341">
        <v>31040</v>
      </c>
      <c r="AR1398" s="341">
        <v>30240</v>
      </c>
      <c r="AS1398" s="341">
        <v>30880</v>
      </c>
      <c r="AT1398" s="341">
        <v>32560.000000000004</v>
      </c>
      <c r="AU1398" s="341">
        <v>33120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33120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0.34870000000000001</v>
      </c>
      <c r="G1399" s="271">
        <v>0.35820000000000002</v>
      </c>
      <c r="H1399" s="271">
        <v>0.35049999999999998</v>
      </c>
      <c r="I1399" s="271">
        <v>0.34910000000000002</v>
      </c>
      <c r="J1399" s="271">
        <v>0.34910000000000002</v>
      </c>
      <c r="K1399" s="271">
        <v>0.3503</v>
      </c>
      <c r="L1399" s="271">
        <v>0.35709999999999997</v>
      </c>
      <c r="M1399" s="271">
        <v>0.35339999999999999</v>
      </c>
      <c r="N1399" s="271">
        <v>0.35310000000000002</v>
      </c>
      <c r="O1399" s="271">
        <v>0.35</v>
      </c>
      <c r="P1399" s="271">
        <v>0.3498</v>
      </c>
      <c r="Q1399" s="271">
        <v>0.3498</v>
      </c>
      <c r="R1399" s="271">
        <v>0.35070000000000001</v>
      </c>
      <c r="S1399" s="271">
        <v>0.35070000000000001</v>
      </c>
      <c r="T1399" s="271">
        <v>0.35260000000000002</v>
      </c>
      <c r="U1399" s="271">
        <v>0.35589999999999999</v>
      </c>
      <c r="V1399" s="271">
        <v>0.35160000000000002</v>
      </c>
      <c r="W1399" s="271">
        <v>0.3508</v>
      </c>
      <c r="X1399" s="271">
        <v>0.34970000000000001</v>
      </c>
      <c r="Y1399" s="271">
        <v>0.34739999999999999</v>
      </c>
      <c r="Z1399" s="273">
        <f ca="1">[1]ExtEntry!$R11</f>
        <v>0.34739999999999999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1.3982000000000001</v>
      </c>
      <c r="G1400" s="271">
        <v>1.3987000000000001</v>
      </c>
      <c r="H1400" s="271">
        <v>1.3974</v>
      </c>
      <c r="I1400" s="271">
        <v>1.3985000000000001</v>
      </c>
      <c r="J1400" s="271">
        <v>1.3985000000000001</v>
      </c>
      <c r="K1400" s="271">
        <v>1.3994</v>
      </c>
      <c r="L1400" s="271">
        <v>1.3986000000000001</v>
      </c>
      <c r="M1400" s="271">
        <v>1.3991</v>
      </c>
      <c r="N1400" s="271">
        <v>1.399</v>
      </c>
      <c r="O1400" s="271">
        <v>1.3996999999999999</v>
      </c>
      <c r="P1400" s="271">
        <v>1.3996999999999999</v>
      </c>
      <c r="Q1400" s="271">
        <v>1.3996999999999999</v>
      </c>
      <c r="R1400" s="271">
        <v>1.3589</v>
      </c>
      <c r="S1400" s="271">
        <v>1.3589</v>
      </c>
      <c r="T1400" s="271">
        <v>1.3574999999999999</v>
      </c>
      <c r="U1400" s="271">
        <v>1.3585</v>
      </c>
      <c r="V1400" s="271">
        <v>1.3581000000000001</v>
      </c>
      <c r="W1400" s="271">
        <v>1.3573999999999999</v>
      </c>
      <c r="X1400" s="271">
        <v>1.3573</v>
      </c>
      <c r="Y1400" s="271">
        <v>1.357</v>
      </c>
      <c r="Z1400" s="273">
        <f ca="1">[1]ExtEntry!$R12</f>
        <v>1.357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0.98750000000000004</v>
      </c>
      <c r="G1401" s="271">
        <v>0.98640000000000005</v>
      </c>
      <c r="H1401" s="271">
        <v>0.98429999999999995</v>
      </c>
      <c r="I1401" s="271">
        <v>0.9849</v>
      </c>
      <c r="J1401" s="271">
        <v>0.9849</v>
      </c>
      <c r="K1401" s="271">
        <v>0.98640000000000005</v>
      </c>
      <c r="L1401" s="271">
        <v>0.98429999999999995</v>
      </c>
      <c r="M1401" s="271">
        <v>0.98540000000000005</v>
      </c>
      <c r="N1401" s="271">
        <v>0.98550000000000004</v>
      </c>
      <c r="O1401" s="271">
        <v>0.98499999999999999</v>
      </c>
      <c r="P1401" s="271">
        <v>0.98629999999999995</v>
      </c>
      <c r="Q1401" s="271">
        <v>0.98629999999999995</v>
      </c>
      <c r="R1401" s="271">
        <v>0.97640000000000005</v>
      </c>
      <c r="S1401" s="271">
        <v>0.97670000000000001</v>
      </c>
      <c r="T1401" s="271">
        <v>0.97560000000000002</v>
      </c>
      <c r="U1401" s="271">
        <v>0.97709999999999997</v>
      </c>
      <c r="V1401" s="271">
        <v>0.97660000000000002</v>
      </c>
      <c r="W1401" s="271">
        <v>0.97570000000000001</v>
      </c>
      <c r="X1401" s="271">
        <v>0.9748</v>
      </c>
      <c r="Y1401" s="271">
        <v>0.97219999999999995</v>
      </c>
      <c r="Z1401" s="273">
        <f ca="1">[1]ExtEntry!$R13</f>
        <v>0.97219999999999995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0.61609999999999998</v>
      </c>
      <c r="G1402" s="271">
        <v>0.61719999999999997</v>
      </c>
      <c r="H1402" s="271">
        <v>0.61939999999999995</v>
      </c>
      <c r="I1402" s="271">
        <v>0.61839999999999995</v>
      </c>
      <c r="J1402" s="271">
        <v>0.61839999999999995</v>
      </c>
      <c r="K1402" s="271">
        <v>0.61270000000000002</v>
      </c>
      <c r="L1402" s="271">
        <v>0.62229999999999996</v>
      </c>
      <c r="M1402" s="271">
        <v>0.61760000000000004</v>
      </c>
      <c r="N1402" s="271">
        <v>0.62239999999999995</v>
      </c>
      <c r="O1402" s="271">
        <v>0.62549999999999994</v>
      </c>
      <c r="P1402" s="271">
        <v>0.623</v>
      </c>
      <c r="Q1402" s="271">
        <v>0.623</v>
      </c>
      <c r="R1402" s="271">
        <v>0.60570000000000002</v>
      </c>
      <c r="S1402" s="271">
        <v>0.60570000000000002</v>
      </c>
      <c r="T1402" s="271">
        <v>0.60809999999999997</v>
      </c>
      <c r="U1402" s="271">
        <v>0.60780000000000001</v>
      </c>
      <c r="V1402" s="271">
        <v>0.61060000000000003</v>
      </c>
      <c r="W1402" s="271">
        <v>0.60899999999999999</v>
      </c>
      <c r="X1402" s="271">
        <v>0.60819999999999996</v>
      </c>
      <c r="Y1402" s="271">
        <v>0.60870000000000002</v>
      </c>
      <c r="Z1402" s="273">
        <f ca="1">[1]ExtEntry!$R14</f>
        <v>0.60870000000000002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2.0981999999999998</v>
      </c>
      <c r="G1403" s="271">
        <v>2.0884999999999998</v>
      </c>
      <c r="H1403" s="271">
        <v>2.0867</v>
      </c>
      <c r="I1403" s="271">
        <v>2.0830000000000002</v>
      </c>
      <c r="J1403" s="271">
        <v>2.0830000000000002</v>
      </c>
      <c r="K1403" s="271">
        <v>2.0712999999999999</v>
      </c>
      <c r="L1403" s="271">
        <v>2.0884999999999998</v>
      </c>
      <c r="M1403" s="271">
        <v>2.0821000000000001</v>
      </c>
      <c r="N1403" s="271">
        <v>2.0903</v>
      </c>
      <c r="O1403" s="271">
        <v>2.1173999999999999</v>
      </c>
      <c r="P1403" s="271">
        <v>2.0941999999999998</v>
      </c>
      <c r="Q1403" s="271">
        <v>2.0941999999999998</v>
      </c>
      <c r="R1403" s="271">
        <v>2.0888</v>
      </c>
      <c r="S1403" s="271">
        <v>2.0888</v>
      </c>
      <c r="T1403" s="271">
        <v>2.0880000000000001</v>
      </c>
      <c r="U1403" s="271">
        <v>2.0886</v>
      </c>
      <c r="V1403" s="271">
        <v>2.0861000000000001</v>
      </c>
      <c r="W1403" s="271">
        <v>2.0857000000000001</v>
      </c>
      <c r="X1403" s="271">
        <v>2.0830000000000002</v>
      </c>
      <c r="Y1403" s="271">
        <v>2.0779999999999998</v>
      </c>
      <c r="Z1403" s="273">
        <f ca="1">[1]ExtEntry!$R15</f>
        <v>2.0779999999999998</v>
      </c>
      <c r="AB1403" s="341">
        <v>123600</v>
      </c>
      <c r="AC1403" s="341">
        <v>125406</v>
      </c>
      <c r="AD1403" s="341">
        <v>120599.99999999999</v>
      </c>
      <c r="AE1403" s="341">
        <v>119100</v>
      </c>
      <c r="AF1403" s="341">
        <v>119100</v>
      </c>
      <c r="AG1403" s="341">
        <v>118200</v>
      </c>
      <c r="AH1403" s="341">
        <v>130499.99999999999</v>
      </c>
      <c r="AI1403" s="341">
        <v>128700</v>
      </c>
      <c r="AJ1403" s="341">
        <v>153900</v>
      </c>
      <c r="AK1403" s="341">
        <v>145452</v>
      </c>
      <c r="AL1403" s="341">
        <v>138000</v>
      </c>
      <c r="AM1403" s="341">
        <v>132300</v>
      </c>
      <c r="AN1403" s="341">
        <v>127217.99999999999</v>
      </c>
      <c r="AO1403" s="341">
        <v>122999.99999999999</v>
      </c>
      <c r="AP1403" s="341">
        <v>122999.99999999999</v>
      </c>
      <c r="AQ1403" s="341">
        <v>130200</v>
      </c>
      <c r="AR1403" s="341">
        <v>126000</v>
      </c>
      <c r="AS1403" s="341">
        <v>127200</v>
      </c>
      <c r="AT1403" s="341">
        <v>135000</v>
      </c>
      <c r="AU1403" s="341">
        <v>133500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133500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1.5472999999999999</v>
      </c>
      <c r="G1404" s="271">
        <v>1.5469999999999999</v>
      </c>
      <c r="H1404" s="271">
        <v>1.5465</v>
      </c>
      <c r="I1404" s="271">
        <v>1.5483</v>
      </c>
      <c r="J1404" s="271">
        <v>1.5483</v>
      </c>
      <c r="K1404" s="271">
        <v>1.55</v>
      </c>
      <c r="L1404" s="271">
        <v>1.5486</v>
      </c>
      <c r="M1404" s="271">
        <v>1.5491999999999999</v>
      </c>
      <c r="N1404" s="271">
        <v>1.548</v>
      </c>
      <c r="O1404" s="271">
        <v>1.5474000000000001</v>
      </c>
      <c r="P1404" s="271">
        <v>1.5486</v>
      </c>
      <c r="Q1404" s="271">
        <v>1.5486</v>
      </c>
      <c r="R1404" s="271">
        <v>1.5516000000000001</v>
      </c>
      <c r="S1404" s="271">
        <v>1.5516000000000001</v>
      </c>
      <c r="T1404" s="271">
        <v>1.5549999999999999</v>
      </c>
      <c r="U1404" s="271">
        <v>1.5549999999999999</v>
      </c>
      <c r="V1404" s="271">
        <v>1.5548</v>
      </c>
      <c r="W1404" s="271">
        <v>1.5556000000000001</v>
      </c>
      <c r="X1404" s="271">
        <v>1.5556000000000001</v>
      </c>
      <c r="Y1404" s="271">
        <v>1.5537000000000001</v>
      </c>
      <c r="Z1404" s="273">
        <f ca="1">[1]ExtEntry!$R16</f>
        <v>1.5537000000000001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>
        <v>75283</v>
      </c>
      <c r="AT1404" s="341">
        <v>76144.25</v>
      </c>
      <c r="AU1404" s="341">
        <v>75380.5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75380.5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0.67210000000000003</v>
      </c>
      <c r="G1405" s="271">
        <v>0.66920000000000002</v>
      </c>
      <c r="H1405" s="271">
        <v>0.66469999999999996</v>
      </c>
      <c r="I1405" s="271">
        <v>0.6603</v>
      </c>
      <c r="J1405" s="271">
        <v>0.6603</v>
      </c>
      <c r="K1405" s="271">
        <v>0.66390000000000005</v>
      </c>
      <c r="L1405" s="271">
        <v>0.66039999999999999</v>
      </c>
      <c r="M1405" s="271">
        <v>0.65659999999999996</v>
      </c>
      <c r="N1405" s="271">
        <v>0.66649999999999998</v>
      </c>
      <c r="O1405" s="271">
        <v>0.67410000000000003</v>
      </c>
      <c r="P1405" s="271">
        <v>0.67210000000000003</v>
      </c>
      <c r="Q1405" s="271">
        <v>0.68600000000000005</v>
      </c>
      <c r="R1405" s="271">
        <v>0.68620000000000003</v>
      </c>
      <c r="S1405" s="271">
        <v>0.68620000000000003</v>
      </c>
      <c r="T1405" s="271">
        <v>0.6855</v>
      </c>
      <c r="U1405" s="271">
        <v>0.68440000000000001</v>
      </c>
      <c r="V1405" s="271">
        <v>0.68240000000000001</v>
      </c>
      <c r="W1405" s="271">
        <v>0.68489999999999995</v>
      </c>
      <c r="X1405" s="271">
        <v>0.68530000000000002</v>
      </c>
      <c r="Y1405" s="271">
        <v>0.68569999999999998</v>
      </c>
      <c r="Z1405" s="273">
        <f ca="1">[1]ExtEntry!$R17</f>
        <v>0.68569999999999998</v>
      </c>
      <c r="AB1405" s="341">
        <v>153180</v>
      </c>
      <c r="AC1405" s="341">
        <v>155192.5</v>
      </c>
      <c r="AD1405" s="341">
        <v>153525</v>
      </c>
      <c r="AE1405" s="341">
        <v>155250</v>
      </c>
      <c r="AF1405" s="341">
        <v>155250</v>
      </c>
      <c r="AG1405" s="341">
        <v>156917.5</v>
      </c>
      <c r="AH1405" s="341">
        <v>154042.5</v>
      </c>
      <c r="AI1405" s="341">
        <v>152087.5</v>
      </c>
      <c r="AJ1405" s="341">
        <v>154330</v>
      </c>
      <c r="AK1405" s="341">
        <v>155135</v>
      </c>
      <c r="AL1405" s="341">
        <v>153467.5</v>
      </c>
      <c r="AM1405" s="341">
        <v>151455</v>
      </c>
      <c r="AN1405" s="341">
        <v>152087.5</v>
      </c>
      <c r="AO1405" s="341">
        <v>152720</v>
      </c>
      <c r="AP1405" s="341">
        <v>154445</v>
      </c>
      <c r="AQ1405" s="341">
        <v>157435</v>
      </c>
      <c r="AR1405" s="341">
        <v>160022.5</v>
      </c>
      <c r="AS1405" s="341">
        <v>157320</v>
      </c>
      <c r="AT1405" s="341">
        <v>156917.5</v>
      </c>
      <c r="AU1405" s="341">
        <v>158470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158470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1.1232</v>
      </c>
      <c r="G1406" s="271">
        <v>1.1229</v>
      </c>
      <c r="H1406" s="271">
        <v>1.1234</v>
      </c>
      <c r="I1406" s="271">
        <v>1.1242000000000001</v>
      </c>
      <c r="J1406" s="271">
        <v>1.1242000000000001</v>
      </c>
      <c r="K1406" s="271">
        <v>1.1275999999999999</v>
      </c>
      <c r="L1406" s="271">
        <v>1.1259999999999999</v>
      </c>
      <c r="M1406" s="271">
        <v>1.1262000000000001</v>
      </c>
      <c r="N1406" s="271">
        <v>1.1252</v>
      </c>
      <c r="O1406" s="271">
        <v>1.1235999999999999</v>
      </c>
      <c r="P1406" s="271">
        <v>1.1251</v>
      </c>
      <c r="Q1406" s="271">
        <v>1.1251</v>
      </c>
      <c r="R1406" s="271">
        <v>1.1378999999999999</v>
      </c>
      <c r="S1406" s="271">
        <v>1.1378999999999999</v>
      </c>
      <c r="T1406" s="271">
        <v>1.1393</v>
      </c>
      <c r="U1406" s="271">
        <v>1.1385000000000001</v>
      </c>
      <c r="V1406" s="271">
        <v>1.1398999999999999</v>
      </c>
      <c r="W1406" s="271">
        <v>1.1388</v>
      </c>
      <c r="X1406" s="271">
        <v>1.1387</v>
      </c>
      <c r="Y1406" s="271">
        <v>1.135</v>
      </c>
      <c r="Z1406" s="273">
        <f ca="1">[1]ExtEntry!$R18</f>
        <v>1.135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1.1599999999999999</v>
      </c>
      <c r="G1407" s="271">
        <v>1.1594</v>
      </c>
      <c r="H1407" s="271">
        <v>1.159</v>
      </c>
      <c r="I1407" s="271">
        <v>1.1599999999999999</v>
      </c>
      <c r="J1407" s="271">
        <v>1.1599999999999999</v>
      </c>
      <c r="K1407" s="271">
        <v>1.1593</v>
      </c>
      <c r="L1407" s="271">
        <v>1.1617999999999999</v>
      </c>
      <c r="M1407" s="271">
        <v>1.1603000000000001</v>
      </c>
      <c r="N1407" s="271">
        <v>1.1613</v>
      </c>
      <c r="O1407" s="271">
        <v>1.1627000000000001</v>
      </c>
      <c r="P1407" s="271">
        <v>1.1625000000000001</v>
      </c>
      <c r="Q1407" s="271">
        <v>1.1625000000000001</v>
      </c>
      <c r="R1407" s="271">
        <v>1.1405000000000001</v>
      </c>
      <c r="S1407" s="271">
        <v>1.1405000000000001</v>
      </c>
      <c r="T1407" s="271">
        <v>1.1417999999999999</v>
      </c>
      <c r="U1407" s="271">
        <v>1.1398999999999999</v>
      </c>
      <c r="V1407" s="271">
        <v>1.1411</v>
      </c>
      <c r="W1407" s="271">
        <v>1.1420999999999999</v>
      </c>
      <c r="X1407" s="271">
        <v>1.1423000000000001</v>
      </c>
      <c r="Y1407" s="271">
        <v>1.1418999999999999</v>
      </c>
      <c r="Z1407" s="273">
        <f ca="1">[1]ExtEntry!$R19</f>
        <v>1.1418999999999999</v>
      </c>
      <c r="AB1407" s="341">
        <v>56259.035000000003</v>
      </c>
      <c r="AC1407" s="341">
        <v>56978.46</v>
      </c>
      <c r="AD1407" s="341">
        <v>57019.57</v>
      </c>
      <c r="AE1407" s="341">
        <v>57410.114999999998</v>
      </c>
      <c r="AF1407" s="341">
        <v>57410.114999999998</v>
      </c>
      <c r="AG1407" s="341">
        <v>56320.7</v>
      </c>
      <c r="AH1407" s="341">
        <v>57895.213000000003</v>
      </c>
      <c r="AI1407" s="341">
        <v>58170.65</v>
      </c>
      <c r="AJ1407" s="341">
        <v>58828.41</v>
      </c>
      <c r="AK1407" s="341">
        <v>58254.103299999995</v>
      </c>
      <c r="AL1407" s="341">
        <v>59403.95</v>
      </c>
      <c r="AM1407" s="341">
        <v>58129.54</v>
      </c>
      <c r="AN1407" s="341">
        <v>58705.079999999994</v>
      </c>
      <c r="AO1407" s="341">
        <v>59609.5</v>
      </c>
      <c r="AP1407" s="341">
        <v>59609.5</v>
      </c>
      <c r="AQ1407" s="341">
        <v>60226.15</v>
      </c>
      <c r="AR1407" s="341">
        <v>59321.729999999996</v>
      </c>
      <c r="AS1407" s="341">
        <v>58458.420000000006</v>
      </c>
      <c r="AT1407" s="341">
        <v>59815.05</v>
      </c>
      <c r="AU1407" s="341">
        <v>57677.329999999994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57677.329999999994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0.71479999999999999</v>
      </c>
      <c r="G1408" s="271">
        <v>0.71519999999999995</v>
      </c>
      <c r="H1408" s="271">
        <v>0.71479999999999999</v>
      </c>
      <c r="I1408" s="271">
        <v>0.71489999999999998</v>
      </c>
      <c r="J1408" s="271">
        <v>0.71489999999999998</v>
      </c>
      <c r="K1408" s="271">
        <v>0.71530000000000005</v>
      </c>
      <c r="L1408" s="271">
        <v>0.7157</v>
      </c>
      <c r="M1408" s="271">
        <v>0.71479999999999999</v>
      </c>
      <c r="N1408" s="271">
        <v>0.7157</v>
      </c>
      <c r="O1408" s="271">
        <v>0.71630000000000005</v>
      </c>
      <c r="P1408" s="271">
        <v>0.71930000000000005</v>
      </c>
      <c r="Q1408" s="271">
        <v>0.71289999999999998</v>
      </c>
      <c r="R1408" s="271">
        <v>0.71479999999999999</v>
      </c>
      <c r="S1408" s="271">
        <v>0.71479999999999999</v>
      </c>
      <c r="T1408" s="271">
        <v>0.71540000000000004</v>
      </c>
      <c r="U1408" s="271">
        <v>0.71319999999999995</v>
      </c>
      <c r="V1408" s="271">
        <v>0.71040000000000003</v>
      </c>
      <c r="W1408" s="271">
        <v>0.71230000000000004</v>
      </c>
      <c r="X1408" s="271">
        <v>0.71150000000000002</v>
      </c>
      <c r="Y1408" s="271">
        <v>0.71130000000000004</v>
      </c>
      <c r="Z1408" s="273">
        <f ca="1">[1]ExtEntry!$R20</f>
        <v>0.71130000000000004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1.6021000000000001</v>
      </c>
      <c r="G1409" s="271">
        <v>1.6015999999999999</v>
      </c>
      <c r="H1409" s="271">
        <v>1.6020000000000001</v>
      </c>
      <c r="I1409" s="271">
        <v>1.6017999999999999</v>
      </c>
      <c r="J1409" s="271">
        <v>1.6017999999999999</v>
      </c>
      <c r="K1409" s="271">
        <v>1.6022000000000001</v>
      </c>
      <c r="L1409" s="271">
        <v>1.6020000000000001</v>
      </c>
      <c r="M1409" s="271">
        <v>1.6869000000000001</v>
      </c>
      <c r="N1409" s="271">
        <v>1.6092</v>
      </c>
      <c r="O1409" s="271">
        <v>1.6041000000000001</v>
      </c>
      <c r="P1409" s="271">
        <v>1.6024</v>
      </c>
      <c r="Q1409" s="271">
        <v>1.6024</v>
      </c>
      <c r="R1409" s="271">
        <v>1.6207</v>
      </c>
      <c r="S1409" s="271">
        <v>1.6207</v>
      </c>
      <c r="T1409" s="271">
        <v>1.6241000000000001</v>
      </c>
      <c r="U1409" s="271">
        <v>1.6245000000000001</v>
      </c>
      <c r="V1409" s="271">
        <v>1.6232</v>
      </c>
      <c r="W1409" s="271">
        <v>1.6225000000000001</v>
      </c>
      <c r="X1409" s="271">
        <v>1.6235999999999999</v>
      </c>
      <c r="Y1409" s="271">
        <v>1.6119000000000001</v>
      </c>
      <c r="Z1409" s="273">
        <f ca="1">[1]ExtEntry!$R21</f>
        <v>1.6119000000000001</v>
      </c>
      <c r="AB1409" s="341">
        <v>23517.829999999998</v>
      </c>
      <c r="AC1409" s="341">
        <v>23575.701100000002</v>
      </c>
      <c r="AD1409" s="341">
        <v>23579.395</v>
      </c>
      <c r="AE1409" s="341">
        <v>23640.959999999999</v>
      </c>
      <c r="AF1409" s="341">
        <v>23640.959999999999</v>
      </c>
      <c r="AG1409" s="341">
        <v>23764.09</v>
      </c>
      <c r="AH1409" s="341">
        <v>9636.1538</v>
      </c>
      <c r="AI1409" s="341">
        <v>3239.5502999999999</v>
      </c>
      <c r="AJ1409" s="341">
        <v>3024.0728000000004</v>
      </c>
      <c r="AK1409" s="341">
        <v>2892.3236999999999</v>
      </c>
      <c r="AL1409" s="341">
        <v>2955.12</v>
      </c>
      <c r="AM1409" s="341">
        <v>2873.8541999999998</v>
      </c>
      <c r="AN1409" s="341">
        <v>2893.5549999999998</v>
      </c>
      <c r="AO1409" s="341">
        <v>2912.0245</v>
      </c>
      <c r="AP1409" s="341">
        <v>2851.6907999999999</v>
      </c>
      <c r="AQ1409" s="341">
        <v>2916.9497000000001</v>
      </c>
      <c r="AR1409" s="341">
        <v>2955.12</v>
      </c>
      <c r="AS1409" s="341">
        <v>2524.165</v>
      </c>
      <c r="AT1409" s="341">
        <v>2524.165</v>
      </c>
      <c r="AU1409" s="341">
        <v>2498.3076999999998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2498.3076999999998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1.3139000000000001</v>
      </c>
      <c r="G1410" s="271">
        <v>1.3150999999999999</v>
      </c>
      <c r="H1410" s="271">
        <v>1.3149</v>
      </c>
      <c r="I1410" s="271">
        <v>1.3144</v>
      </c>
      <c r="J1410" s="271">
        <v>1.3144</v>
      </c>
      <c r="K1410" s="271">
        <v>1.3129999999999999</v>
      </c>
      <c r="L1410" s="271">
        <v>1.3176000000000001</v>
      </c>
      <c r="M1410" s="271">
        <v>1.3153999999999999</v>
      </c>
      <c r="N1410" s="271">
        <v>1.3181</v>
      </c>
      <c r="O1410" s="271">
        <v>1.3191999999999999</v>
      </c>
      <c r="P1410" s="271">
        <v>1.3173999999999999</v>
      </c>
      <c r="Q1410" s="271">
        <v>1.3173999999999999</v>
      </c>
      <c r="R1410" s="271">
        <v>1.3366</v>
      </c>
      <c r="S1410" s="271">
        <v>1.3366</v>
      </c>
      <c r="T1410" s="271">
        <v>1.3391999999999999</v>
      </c>
      <c r="U1410" s="271">
        <v>1.3385</v>
      </c>
      <c r="V1410" s="271">
        <v>1.3385</v>
      </c>
      <c r="W1410" s="271">
        <v>1.3385</v>
      </c>
      <c r="X1410" s="271">
        <v>1.3381000000000001</v>
      </c>
      <c r="Y1410" s="271">
        <v>1.3363</v>
      </c>
      <c r="Z1410" s="273">
        <f ca="1">[1]ExtEntry!$R22</f>
        <v>1.3363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1.4381999999999999</v>
      </c>
      <c r="G1411" s="271">
        <v>1.4373</v>
      </c>
      <c r="H1411" s="271">
        <v>1.4368000000000001</v>
      </c>
      <c r="I1411" s="271">
        <v>1.4382999999999999</v>
      </c>
      <c r="J1411" s="271">
        <v>1.4382999999999999</v>
      </c>
      <c r="K1411" s="271">
        <v>1.4373</v>
      </c>
      <c r="L1411" s="271">
        <v>1.4412</v>
      </c>
      <c r="M1411" s="271">
        <v>1.4397</v>
      </c>
      <c r="N1411" s="271">
        <v>1.4413</v>
      </c>
      <c r="O1411" s="271">
        <v>1.4431</v>
      </c>
      <c r="P1411" s="271">
        <v>1.4412</v>
      </c>
      <c r="Q1411" s="271">
        <v>1.4412</v>
      </c>
      <c r="R1411" s="271">
        <v>1.4490000000000001</v>
      </c>
      <c r="S1411" s="271">
        <v>1.4490000000000001</v>
      </c>
      <c r="T1411" s="271">
        <v>1.4502999999999999</v>
      </c>
      <c r="U1411" s="271">
        <v>1.4483999999999999</v>
      </c>
      <c r="V1411" s="271">
        <v>1.4493</v>
      </c>
      <c r="W1411" s="271">
        <v>1.4495</v>
      </c>
      <c r="X1411" s="271">
        <v>1.4503999999999999</v>
      </c>
      <c r="Y1411" s="271">
        <v>1.4553</v>
      </c>
      <c r="Z1411" s="273">
        <f ca="1">[1]ExtEntry!$R23</f>
        <v>1.4553</v>
      </c>
      <c r="AB1411" s="341">
        <v>74182.5</v>
      </c>
      <c r="AC1411" s="341">
        <v>74392.5</v>
      </c>
      <c r="AD1411" s="341">
        <v>74777.5</v>
      </c>
      <c r="AE1411" s="341">
        <v>75005</v>
      </c>
      <c r="AF1411" s="341">
        <v>75005</v>
      </c>
      <c r="AG1411" s="341">
        <v>73657.5</v>
      </c>
      <c r="AH1411" s="341">
        <v>78995</v>
      </c>
      <c r="AI1411" s="341">
        <v>78767.5</v>
      </c>
      <c r="AJ1411" s="341">
        <v>79467.5</v>
      </c>
      <c r="AK1411" s="341"/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1.3018000000000001</v>
      </c>
      <c r="G1412" s="271">
        <v>1.3013999999999999</v>
      </c>
      <c r="H1412" s="271">
        <v>1.3008</v>
      </c>
      <c r="I1412" s="271">
        <v>1.2998000000000001</v>
      </c>
      <c r="J1412" s="271">
        <v>1.2998000000000001</v>
      </c>
      <c r="K1412" s="271">
        <v>1.2967</v>
      </c>
      <c r="L1412" s="271">
        <v>1.3035000000000001</v>
      </c>
      <c r="M1412" s="271">
        <v>1.3</v>
      </c>
      <c r="N1412" s="271">
        <v>1.3013999999999999</v>
      </c>
      <c r="O1412" s="271">
        <v>1.3028</v>
      </c>
      <c r="P1412" s="271">
        <v>1.3048</v>
      </c>
      <c r="Q1412" s="271">
        <v>1.3048</v>
      </c>
      <c r="R1412" s="271">
        <v>1.3118000000000001</v>
      </c>
      <c r="S1412" s="271">
        <v>1.3118000000000001</v>
      </c>
      <c r="T1412" s="271">
        <v>1.3157000000000001</v>
      </c>
      <c r="U1412" s="271">
        <v>1.3141</v>
      </c>
      <c r="V1412" s="271">
        <v>1.3147</v>
      </c>
      <c r="W1412" s="271">
        <v>1.3157000000000001</v>
      </c>
      <c r="X1412" s="271">
        <v>1.3163</v>
      </c>
      <c r="Y1412" s="271">
        <v>1.3144</v>
      </c>
      <c r="Z1412" s="273">
        <f ca="1">[1]ExtEntry!$R24</f>
        <v>1.3144</v>
      </c>
      <c r="AB1412" s="341">
        <v>106920</v>
      </c>
      <c r="AC1412" s="341">
        <v>106920</v>
      </c>
      <c r="AD1412" s="341">
        <v>107560</v>
      </c>
      <c r="AE1412" s="341"/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2.9217</v>
      </c>
      <c r="G1413" s="271">
        <v>2.9218999999999999</v>
      </c>
      <c r="H1413" s="271">
        <v>2.9197000000000002</v>
      </c>
      <c r="I1413" s="271">
        <v>2.92</v>
      </c>
      <c r="J1413" s="271">
        <v>2.92</v>
      </c>
      <c r="K1413" s="271">
        <v>2.9209000000000001</v>
      </c>
      <c r="L1413" s="271">
        <v>2.9173</v>
      </c>
      <c r="M1413" s="271">
        <v>2.9173</v>
      </c>
      <c r="N1413" s="271">
        <v>2.9207000000000001</v>
      </c>
      <c r="O1413" s="271">
        <v>2.92</v>
      </c>
      <c r="P1413" s="271">
        <v>2.9222000000000001</v>
      </c>
      <c r="Q1413" s="271">
        <v>2.8016000000000001</v>
      </c>
      <c r="R1413" s="271">
        <v>2.8003999999999998</v>
      </c>
      <c r="S1413" s="271">
        <v>2.8001999999999998</v>
      </c>
      <c r="T1413" s="271">
        <v>2.8029000000000002</v>
      </c>
      <c r="U1413" s="271">
        <v>2.8026</v>
      </c>
      <c r="V1413" s="271">
        <v>2.8026</v>
      </c>
      <c r="W1413" s="271">
        <v>2.8026</v>
      </c>
      <c r="X1413" s="271">
        <v>2.8047</v>
      </c>
      <c r="Y1413" s="271">
        <v>2.8010999999999999</v>
      </c>
      <c r="Z1413" s="273">
        <f ca="1">[1]ExtEntry!$R25</f>
        <v>2.8010999999999999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0.58860000000000001</v>
      </c>
      <c r="G1414" s="271">
        <v>0.58750000000000002</v>
      </c>
      <c r="H1414" s="271">
        <v>0.58789999999999998</v>
      </c>
      <c r="I1414" s="271">
        <v>0.5887</v>
      </c>
      <c r="J1414" s="271">
        <v>0.5887</v>
      </c>
      <c r="K1414" s="271">
        <v>0.5897</v>
      </c>
      <c r="L1414" s="271">
        <v>0.58789999999999998</v>
      </c>
      <c r="M1414" s="271">
        <v>0.58919999999999995</v>
      </c>
      <c r="N1414" s="271">
        <v>0.58730000000000004</v>
      </c>
      <c r="O1414" s="271">
        <v>0.58530000000000004</v>
      </c>
      <c r="P1414" s="271">
        <v>0.58660000000000001</v>
      </c>
      <c r="Q1414" s="271">
        <v>0.58660000000000001</v>
      </c>
      <c r="R1414" s="271">
        <v>0.57140000000000002</v>
      </c>
      <c r="S1414" s="271">
        <v>0.57140000000000002</v>
      </c>
      <c r="T1414" s="271">
        <v>0.57320000000000004</v>
      </c>
      <c r="U1414" s="271">
        <v>0.57350000000000001</v>
      </c>
      <c r="V1414" s="271">
        <v>0.57320000000000004</v>
      </c>
      <c r="W1414" s="271">
        <v>0.57320000000000004</v>
      </c>
      <c r="X1414" s="271">
        <v>0.57299999999999995</v>
      </c>
      <c r="Y1414" s="271">
        <v>0.57110000000000005</v>
      </c>
      <c r="Z1414" s="273">
        <f ca="1">[1]ExtEntry!$R26</f>
        <v>0.57110000000000005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0.496</v>
      </c>
      <c r="G1415" s="271">
        <v>0.49480000000000002</v>
      </c>
      <c r="H1415" s="271">
        <v>0.49530000000000002</v>
      </c>
      <c r="I1415" s="271">
        <v>0.49669999999999997</v>
      </c>
      <c r="J1415" s="271">
        <v>0.49669999999999997</v>
      </c>
      <c r="K1415" s="271">
        <v>0.49859999999999999</v>
      </c>
      <c r="L1415" s="271">
        <v>0.499</v>
      </c>
      <c r="M1415" s="271">
        <v>0.4955</v>
      </c>
      <c r="N1415" s="271">
        <v>0.49690000000000001</v>
      </c>
      <c r="O1415" s="271">
        <v>0.49340000000000001</v>
      </c>
      <c r="P1415" s="271">
        <v>0.49020000000000002</v>
      </c>
      <c r="Q1415" s="271">
        <v>0.49020000000000002</v>
      </c>
      <c r="R1415" s="271">
        <v>0.49430000000000002</v>
      </c>
      <c r="S1415" s="271">
        <v>0.49430000000000002</v>
      </c>
      <c r="T1415" s="271">
        <v>0.49680000000000002</v>
      </c>
      <c r="U1415" s="271">
        <v>0.49559999999999998</v>
      </c>
      <c r="V1415" s="271">
        <v>0.49509999999999998</v>
      </c>
      <c r="W1415" s="271">
        <v>0.49569999999999997</v>
      </c>
      <c r="X1415" s="271">
        <v>0.4955</v>
      </c>
      <c r="Y1415" s="271">
        <v>0.49480000000000002</v>
      </c>
      <c r="Z1415" s="273">
        <f ca="1">[1]ExtEntry!$R27</f>
        <v>0.49480000000000002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1.3969</v>
      </c>
      <c r="G1416" s="271">
        <v>1.3972</v>
      </c>
      <c r="H1416" s="271">
        <v>1.3986000000000001</v>
      </c>
      <c r="I1416" s="271">
        <v>1.4024000000000001</v>
      </c>
      <c r="J1416" s="271">
        <v>1.4024000000000001</v>
      </c>
      <c r="K1416" s="271">
        <v>1.401</v>
      </c>
      <c r="L1416" s="271">
        <v>1.4016</v>
      </c>
      <c r="M1416" s="271">
        <v>1.4020999999999999</v>
      </c>
      <c r="N1416" s="271">
        <v>1.4028</v>
      </c>
      <c r="O1416" s="271">
        <v>1.4145000000000001</v>
      </c>
      <c r="P1416" s="271">
        <v>1.4066000000000001</v>
      </c>
      <c r="Q1416" s="271">
        <v>1.4066000000000001</v>
      </c>
      <c r="R1416" s="271">
        <v>1.4078999999999999</v>
      </c>
      <c r="S1416" s="271">
        <v>1.4078999999999999</v>
      </c>
      <c r="T1416" s="271">
        <v>1.4041999999999999</v>
      </c>
      <c r="U1416" s="271">
        <v>1.4073</v>
      </c>
      <c r="V1416" s="271">
        <v>1.4026000000000001</v>
      </c>
      <c r="W1416" s="271">
        <v>1.3997999999999999</v>
      </c>
      <c r="X1416" s="271">
        <v>1.4018999999999999</v>
      </c>
      <c r="Y1416" s="271">
        <v>1.4157</v>
      </c>
      <c r="Z1416" s="273">
        <f ca="1">[1]ExtEntry!$R28</f>
        <v>1.4157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1.9331</v>
      </c>
      <c r="G1417" s="271">
        <v>1.9322999999999999</v>
      </c>
      <c r="H1417" s="271">
        <v>1.9377</v>
      </c>
      <c r="I1417" s="271">
        <v>1.9379</v>
      </c>
      <c r="J1417" s="271">
        <v>1.9379</v>
      </c>
      <c r="K1417" s="271">
        <v>1.9413</v>
      </c>
      <c r="L1417" s="271">
        <v>1.9336</v>
      </c>
      <c r="M1417" s="271">
        <v>1.9355</v>
      </c>
      <c r="N1417" s="271">
        <v>1.9280999999999999</v>
      </c>
      <c r="O1417" s="271">
        <v>1.9251</v>
      </c>
      <c r="P1417" s="271">
        <v>1.9282999999999999</v>
      </c>
      <c r="Q1417" s="271">
        <v>1.9282999999999999</v>
      </c>
      <c r="R1417" s="271">
        <v>1.9981</v>
      </c>
      <c r="S1417" s="271">
        <v>1.9981</v>
      </c>
      <c r="T1417" s="271">
        <v>2.0028999999999999</v>
      </c>
      <c r="U1417" s="271">
        <v>1.9996</v>
      </c>
      <c r="V1417" s="271">
        <v>2.0015000000000001</v>
      </c>
      <c r="W1417" s="271">
        <v>2.0028999999999999</v>
      </c>
      <c r="X1417" s="271">
        <v>2.0034000000000001</v>
      </c>
      <c r="Y1417" s="271">
        <v>2.0053999999999998</v>
      </c>
      <c r="Z1417" s="273">
        <f ca="1">[1]ExtEntry!$R29</f>
        <v>2.0053999999999998</v>
      </c>
      <c r="AB1417" s="341">
        <v>314114.82</v>
      </c>
      <c r="AC1417" s="341">
        <v>328276</v>
      </c>
      <c r="AD1417" s="341">
        <v>330813</v>
      </c>
      <c r="AE1417" s="341">
        <v>329633</v>
      </c>
      <c r="AF1417" s="341">
        <v>329633</v>
      </c>
      <c r="AG1417" s="341">
        <v>317302</v>
      </c>
      <c r="AH1417" s="341">
        <v>299130</v>
      </c>
      <c r="AI1417" s="341">
        <v>291814</v>
      </c>
      <c r="AJ1417" s="341">
        <v>296180</v>
      </c>
      <c r="AK1417" s="341">
        <v>288451</v>
      </c>
      <c r="AL1417" s="341">
        <v>284262</v>
      </c>
      <c r="AM1417" s="341">
        <v>277064</v>
      </c>
      <c r="AN1417" s="341">
        <v>286504</v>
      </c>
      <c r="AO1417" s="341">
        <v>283790</v>
      </c>
      <c r="AP1417" s="341">
        <v>286504</v>
      </c>
      <c r="AQ1417" s="341">
        <v>292994</v>
      </c>
      <c r="AR1417" s="341">
        <v>288746</v>
      </c>
      <c r="AS1417" s="341">
        <v>286858</v>
      </c>
      <c r="AT1417" s="341">
        <v>299484</v>
      </c>
      <c r="AU1417" s="341">
        <v>277418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277418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1.0410999999999999</v>
      </c>
      <c r="G1418" s="271">
        <v>1.0412999999999999</v>
      </c>
      <c r="H1418" s="271">
        <v>1.0423</v>
      </c>
      <c r="I1418" s="271">
        <v>1.0421</v>
      </c>
      <c r="J1418" s="271">
        <v>1.0421</v>
      </c>
      <c r="K1418" s="271">
        <v>1.0446</v>
      </c>
      <c r="L1418" s="271">
        <v>1.0394000000000001</v>
      </c>
      <c r="M1418" s="271">
        <v>1.0419</v>
      </c>
      <c r="N1418" s="271">
        <v>1.0387999999999999</v>
      </c>
      <c r="O1418" s="271">
        <v>1.0377000000000001</v>
      </c>
      <c r="P1418" s="271">
        <v>1.04</v>
      </c>
      <c r="Q1418" s="271">
        <v>1.04</v>
      </c>
      <c r="R1418" s="271">
        <v>1.0273000000000001</v>
      </c>
      <c r="S1418" s="271">
        <v>1.0278</v>
      </c>
      <c r="T1418" s="271">
        <v>1.0276000000000001</v>
      </c>
      <c r="U1418" s="271">
        <v>1.0294000000000001</v>
      </c>
      <c r="V1418" s="271">
        <v>1.0286</v>
      </c>
      <c r="W1418" s="271">
        <v>1.0281</v>
      </c>
      <c r="X1418" s="271">
        <v>1.0274000000000001</v>
      </c>
      <c r="Y1418" s="271">
        <v>1.0249999999999999</v>
      </c>
      <c r="Z1418" s="273">
        <f ca="1">[1]ExtEntry!$R30</f>
        <v>1.0249999999999999</v>
      </c>
      <c r="AB1418" s="341">
        <v>104796</v>
      </c>
      <c r="AC1418" s="341">
        <v>104564.00000000001</v>
      </c>
      <c r="AD1418" s="341">
        <v>103608</v>
      </c>
      <c r="AE1418" s="341">
        <v>101786</v>
      </c>
      <c r="AF1418" s="341">
        <v>101786</v>
      </c>
      <c r="AG1418" s="341">
        <v>101144</v>
      </c>
      <c r="AH1418" s="341">
        <v>100852</v>
      </c>
      <c r="AI1418" s="341">
        <v>100408</v>
      </c>
      <c r="AJ1418" s="341">
        <v>101348</v>
      </c>
      <c r="AK1418" s="341">
        <v>101611</v>
      </c>
      <c r="AL1418" s="341">
        <v>101338</v>
      </c>
      <c r="AM1418" s="341">
        <v>100168</v>
      </c>
      <c r="AN1418" s="341">
        <v>101082</v>
      </c>
      <c r="AO1418" s="341">
        <v>101070</v>
      </c>
      <c r="AP1418" s="341">
        <v>101594</v>
      </c>
      <c r="AQ1418" s="341">
        <v>99640</v>
      </c>
      <c r="AR1418" s="341">
        <v>99682</v>
      </c>
      <c r="AS1418" s="341">
        <v>100074</v>
      </c>
      <c r="AT1418" s="341">
        <v>100274</v>
      </c>
      <c r="AU1418" s="341">
        <v>101980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101980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0.63739999999999997</v>
      </c>
      <c r="G1419" s="271">
        <v>0.63739999999999997</v>
      </c>
      <c r="H1419" s="271">
        <v>0.64059999999999995</v>
      </c>
      <c r="I1419" s="271">
        <v>0.63959999999999995</v>
      </c>
      <c r="J1419" s="271">
        <v>0.63959999999999995</v>
      </c>
      <c r="K1419" s="271">
        <v>0.63690000000000002</v>
      </c>
      <c r="L1419" s="271">
        <v>0.64139999999999997</v>
      </c>
      <c r="M1419" s="271">
        <v>0.63880000000000003</v>
      </c>
      <c r="N1419" s="271">
        <v>0.63990000000000002</v>
      </c>
      <c r="O1419" s="271">
        <v>0.63939999999999997</v>
      </c>
      <c r="P1419" s="271">
        <v>0.63719999999999999</v>
      </c>
      <c r="Q1419" s="271">
        <v>0.63719999999999999</v>
      </c>
      <c r="R1419" s="271">
        <v>0.64429999999999998</v>
      </c>
      <c r="S1419" s="271">
        <v>0.64429999999999998</v>
      </c>
      <c r="T1419" s="271">
        <v>0.64700000000000002</v>
      </c>
      <c r="U1419" s="271">
        <v>0.64790000000000003</v>
      </c>
      <c r="V1419" s="271">
        <v>0.64859999999999995</v>
      </c>
      <c r="W1419" s="271">
        <v>0.64790000000000003</v>
      </c>
      <c r="X1419" s="271">
        <v>0.64710000000000001</v>
      </c>
      <c r="Y1419" s="271">
        <v>0.64590000000000003</v>
      </c>
      <c r="Z1419" s="273">
        <f ca="1">[1]ExtEntry!$R31</f>
        <v>0.64590000000000003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0.34849999999999998</v>
      </c>
      <c r="G1420" s="271">
        <v>0.34870000000000001</v>
      </c>
      <c r="H1420" s="271">
        <v>0.34970000000000001</v>
      </c>
      <c r="I1420" s="271">
        <v>0.3468</v>
      </c>
      <c r="J1420" s="271">
        <v>0.3468</v>
      </c>
      <c r="K1420" s="271">
        <v>0.34179999999999999</v>
      </c>
      <c r="L1420" s="271">
        <v>0.35110000000000002</v>
      </c>
      <c r="M1420" s="271">
        <v>0.3468</v>
      </c>
      <c r="N1420" s="271">
        <v>0.3528</v>
      </c>
      <c r="O1420" s="271">
        <v>0.35570000000000002</v>
      </c>
      <c r="P1420" s="271">
        <v>0.35360000000000003</v>
      </c>
      <c r="Q1420" s="271">
        <v>0.35360000000000003</v>
      </c>
      <c r="R1420" s="271">
        <v>0.33160000000000001</v>
      </c>
      <c r="S1420" s="271">
        <v>0.33160000000000001</v>
      </c>
      <c r="T1420" s="271">
        <v>0.33429999999999999</v>
      </c>
      <c r="U1420" s="271">
        <v>0.33300000000000002</v>
      </c>
      <c r="V1420" s="271">
        <v>0.3337</v>
      </c>
      <c r="W1420" s="271">
        <v>0.33389999999999997</v>
      </c>
      <c r="X1420" s="271">
        <v>0.33400000000000002</v>
      </c>
      <c r="Y1420" s="271">
        <v>0.33800000000000002</v>
      </c>
      <c r="Z1420" s="273">
        <f ca="1">[1]ExtEntry!$R32</f>
        <v>0.33800000000000002</v>
      </c>
      <c r="AB1420" s="341">
        <v>218319.99999999997</v>
      </c>
      <c r="AC1420" s="341">
        <v>221104</v>
      </c>
      <c r="AD1420" s="341">
        <v>221216</v>
      </c>
      <c r="AE1420" s="341">
        <v>215408</v>
      </c>
      <c r="AF1420" s="341">
        <v>215408</v>
      </c>
      <c r="AG1420" s="341">
        <v>220736</v>
      </c>
      <c r="AH1420" s="341">
        <v>227440</v>
      </c>
      <c r="AI1420" s="341">
        <v>231856</v>
      </c>
      <c r="AJ1420" s="341">
        <v>231680.00000000003</v>
      </c>
      <c r="AK1420" s="341">
        <v>87310.079999999987</v>
      </c>
      <c r="AL1420" s="341">
        <v>89280</v>
      </c>
      <c r="AM1420" s="341">
        <v>91224</v>
      </c>
      <c r="AN1420" s="341">
        <v>91542</v>
      </c>
      <c r="AO1420" s="341">
        <v>90504</v>
      </c>
      <c r="AP1420" s="341">
        <v>89856</v>
      </c>
      <c r="AQ1420" s="341">
        <v>90924</v>
      </c>
      <c r="AR1420" s="341">
        <v>91104</v>
      </c>
      <c r="AS1420" s="341">
        <v>94164</v>
      </c>
      <c r="AT1420" s="341">
        <v>95514</v>
      </c>
      <c r="AU1420" s="341"/>
      <c r="AV1420" s="341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1.6044</v>
      </c>
      <c r="G1421" s="271">
        <v>1.6060000000000001</v>
      </c>
      <c r="H1421" s="271">
        <v>1.6060000000000001</v>
      </c>
      <c r="I1421" s="271">
        <v>1.6062000000000001</v>
      </c>
      <c r="J1421" s="271">
        <v>1.6062000000000001</v>
      </c>
      <c r="K1421" s="271">
        <v>1.6042000000000001</v>
      </c>
      <c r="L1421" s="271">
        <v>1.6044</v>
      </c>
      <c r="M1421" s="271">
        <v>1.605</v>
      </c>
      <c r="N1421" s="271">
        <v>1.6056999999999999</v>
      </c>
      <c r="O1421" s="271">
        <v>1.6054999999999999</v>
      </c>
      <c r="P1421" s="271">
        <v>1.6047</v>
      </c>
      <c r="Q1421" s="271">
        <v>1.6047</v>
      </c>
      <c r="R1421" s="271">
        <v>1.6041000000000001</v>
      </c>
      <c r="S1421" s="271">
        <v>1.6044</v>
      </c>
      <c r="T1421" s="271">
        <v>1.6047</v>
      </c>
      <c r="U1421" s="271">
        <v>1.6045</v>
      </c>
      <c r="V1421" s="271">
        <v>1.605</v>
      </c>
      <c r="W1421" s="271">
        <v>1.605</v>
      </c>
      <c r="X1421" s="271">
        <v>1.6057999999999999</v>
      </c>
      <c r="Y1421" s="271">
        <v>1.6034999999999999</v>
      </c>
      <c r="Z1421" s="273">
        <f ca="1">[1]ExtEntry!$R33</f>
        <v>1.6034999999999999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0.58220000000000005</v>
      </c>
      <c r="G1422" s="271">
        <v>0.58120000000000005</v>
      </c>
      <c r="H1422" s="271">
        <v>0.57879999999999998</v>
      </c>
      <c r="I1422" s="271">
        <v>0.57979999999999998</v>
      </c>
      <c r="J1422" s="271">
        <v>0.57979999999999998</v>
      </c>
      <c r="K1422" s="271">
        <v>0.5827</v>
      </c>
      <c r="L1422" s="271">
        <v>0.57769999999999999</v>
      </c>
      <c r="M1422" s="271">
        <v>0.57369999999999999</v>
      </c>
      <c r="N1422" s="271">
        <v>0.56399999999999995</v>
      </c>
      <c r="O1422" s="271">
        <v>0.56089999999999995</v>
      </c>
      <c r="P1422" s="271">
        <v>0.5665</v>
      </c>
      <c r="Q1422" s="271">
        <v>0.5665</v>
      </c>
      <c r="R1422" s="271">
        <v>0.55989999999999995</v>
      </c>
      <c r="S1422" s="271">
        <v>0.55989999999999995</v>
      </c>
      <c r="T1422" s="271">
        <v>0.57310000000000005</v>
      </c>
      <c r="U1422" s="271">
        <v>0.57679999999999998</v>
      </c>
      <c r="V1422" s="271">
        <v>0.5706</v>
      </c>
      <c r="W1422" s="271">
        <v>0.56730000000000003</v>
      </c>
      <c r="X1422" s="271">
        <v>0.56659999999999999</v>
      </c>
      <c r="Y1422" s="271">
        <v>0.56910000000000005</v>
      </c>
      <c r="Z1422" s="273">
        <f ca="1">[1]ExtEntry!$R34</f>
        <v>0.56910000000000005</v>
      </c>
      <c r="AB1422" s="341">
        <v>136942</v>
      </c>
      <c r="AC1422" s="341">
        <v>140998</v>
      </c>
      <c r="AD1422" s="341">
        <v>137800</v>
      </c>
      <c r="AE1422" s="341">
        <v>132496</v>
      </c>
      <c r="AF1422" s="341">
        <v>132496</v>
      </c>
      <c r="AG1422" s="341">
        <v>126126</v>
      </c>
      <c r="AH1422" s="341">
        <v>112762</v>
      </c>
      <c r="AI1422" s="341">
        <v>109226</v>
      </c>
      <c r="AJ1422" s="341">
        <v>125425</v>
      </c>
      <c r="AK1422" s="341">
        <v>124671</v>
      </c>
      <c r="AL1422" s="341">
        <v>123192</v>
      </c>
      <c r="AM1422" s="341"/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0.79020000000000001</v>
      </c>
      <c r="G1423" s="271">
        <v>0.79379999999999995</v>
      </c>
      <c r="H1423" s="271">
        <v>0.7913</v>
      </c>
      <c r="I1423" s="271">
        <v>0.7903</v>
      </c>
      <c r="J1423" s="271">
        <v>0.7903</v>
      </c>
      <c r="K1423" s="271">
        <v>0.78510000000000002</v>
      </c>
      <c r="L1423" s="271">
        <v>0.80879999999999996</v>
      </c>
      <c r="M1423" s="271">
        <v>0.82840000000000003</v>
      </c>
      <c r="N1423" s="271">
        <v>0.82269999999999999</v>
      </c>
      <c r="O1423" s="271">
        <v>0.83320000000000005</v>
      </c>
      <c r="P1423" s="271">
        <v>0.85219999999999996</v>
      </c>
      <c r="Q1423" s="271">
        <v>0.85219999999999996</v>
      </c>
      <c r="R1423" s="271">
        <v>0.83340000000000003</v>
      </c>
      <c r="S1423" s="271">
        <v>0.83260000000000001</v>
      </c>
      <c r="T1423" s="271">
        <v>0.8337</v>
      </c>
      <c r="U1423" s="271">
        <v>0.83379999999999999</v>
      </c>
      <c r="V1423" s="271">
        <v>0.83720000000000006</v>
      </c>
      <c r="W1423" s="271">
        <v>0.83640000000000003</v>
      </c>
      <c r="X1423" s="271">
        <v>0.83909999999999996</v>
      </c>
      <c r="Y1423" s="271">
        <v>0.84379999999999999</v>
      </c>
      <c r="Z1423" s="273">
        <f ca="1">[1]ExtEntry!$R35</f>
        <v>0.84379999999999999</v>
      </c>
      <c r="AB1423" s="341">
        <v>156514</v>
      </c>
      <c r="AC1423" s="341">
        <v>158300</v>
      </c>
      <c r="AD1423" s="341">
        <v>157525</v>
      </c>
      <c r="AE1423" s="341">
        <v>61270</v>
      </c>
      <c r="AF1423" s="341">
        <v>61270</v>
      </c>
      <c r="AG1423" s="341">
        <v>62440</v>
      </c>
      <c r="AH1423" s="341">
        <v>65000</v>
      </c>
      <c r="AI1423" s="341">
        <v>66220</v>
      </c>
      <c r="AJ1423" s="341">
        <v>66000</v>
      </c>
      <c r="AK1423" s="341">
        <v>32555</v>
      </c>
      <c r="AL1423" s="341">
        <v>33920</v>
      </c>
      <c r="AM1423" s="341">
        <v>34535</v>
      </c>
      <c r="AN1423" s="341">
        <v>34496.5</v>
      </c>
      <c r="AO1423" s="341">
        <v>34040</v>
      </c>
      <c r="AP1423" s="341">
        <v>33580</v>
      </c>
      <c r="AQ1423" s="341">
        <v>35770</v>
      </c>
      <c r="AR1423" s="341">
        <v>35430</v>
      </c>
      <c r="AS1423" s="341">
        <v>36260</v>
      </c>
      <c r="AT1423" s="341">
        <v>36831.200000000004</v>
      </c>
      <c r="AU1423" s="341">
        <v>36690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36690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0.31430000000000002</v>
      </c>
      <c r="G1424" s="271">
        <v>0.31209999999999999</v>
      </c>
      <c r="H1424" s="271">
        <v>0.27639999999999998</v>
      </c>
      <c r="I1424" s="271">
        <v>0.29249999999999998</v>
      </c>
      <c r="J1424" s="271">
        <v>0.29249999999999998</v>
      </c>
      <c r="K1424" s="271">
        <v>0.28549999999999998</v>
      </c>
      <c r="L1424" s="271">
        <v>0.28029999999999999</v>
      </c>
      <c r="M1424" s="271">
        <v>0.25559999999999999</v>
      </c>
      <c r="N1424" s="271">
        <v>0.25769999999999998</v>
      </c>
      <c r="O1424" s="271">
        <v>0.2409</v>
      </c>
      <c r="P1424" s="271">
        <v>0.2283</v>
      </c>
      <c r="Q1424" s="271">
        <v>0.2283</v>
      </c>
      <c r="R1424" s="271">
        <v>0.31230000000000002</v>
      </c>
      <c r="S1424" s="271">
        <v>0.31230000000000002</v>
      </c>
      <c r="T1424" s="271">
        <v>0.31309999999999999</v>
      </c>
      <c r="U1424" s="271">
        <v>0.31080000000000002</v>
      </c>
      <c r="V1424" s="271">
        <v>0.3054</v>
      </c>
      <c r="W1424" s="271">
        <v>0.30659999999999998</v>
      </c>
      <c r="X1424" s="271">
        <v>0.30099999999999999</v>
      </c>
      <c r="Y1424" s="271">
        <v>0.29759999999999998</v>
      </c>
      <c r="Z1424" s="273">
        <f ca="1">[1]ExtEntry!$R36</f>
        <v>0.29759999999999998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0.38429999999999997</v>
      </c>
      <c r="G1425" s="271">
        <v>0.38229999999999997</v>
      </c>
      <c r="H1425" s="271">
        <v>0.38169999999999998</v>
      </c>
      <c r="I1425" s="271">
        <v>0.38490000000000002</v>
      </c>
      <c r="J1425" s="271">
        <v>0.38490000000000002</v>
      </c>
      <c r="K1425" s="271">
        <v>0.39050000000000001</v>
      </c>
      <c r="L1425" s="271">
        <v>0.38579999999999998</v>
      </c>
      <c r="M1425" s="271">
        <v>0.38829999999999998</v>
      </c>
      <c r="N1425" s="271">
        <v>0.38690000000000002</v>
      </c>
      <c r="O1425" s="271">
        <v>0.3851</v>
      </c>
      <c r="P1425" s="271">
        <v>0.3866</v>
      </c>
      <c r="Q1425" s="271">
        <v>0.3866</v>
      </c>
      <c r="R1425" s="271">
        <v>0.38450000000000001</v>
      </c>
      <c r="S1425" s="271">
        <v>0.38450000000000001</v>
      </c>
      <c r="T1425" s="271">
        <v>0.38080000000000003</v>
      </c>
      <c r="U1425" s="271">
        <v>0.38179999999999997</v>
      </c>
      <c r="V1425" s="271">
        <v>0.38030000000000003</v>
      </c>
      <c r="W1425" s="271">
        <v>0.37959999999999999</v>
      </c>
      <c r="X1425" s="271">
        <v>0.37819999999999998</v>
      </c>
      <c r="Y1425" s="271">
        <v>0.37559999999999999</v>
      </c>
      <c r="Z1425" s="273">
        <f ca="1">[1]ExtEntry!$R37</f>
        <v>0.37559999999999999</v>
      </c>
      <c r="AB1425" s="341">
        <v>24850</v>
      </c>
      <c r="AC1425" s="341">
        <v>25325.000000000004</v>
      </c>
      <c r="AD1425" s="341">
        <v>24474.999999999996</v>
      </c>
      <c r="AE1425" s="341">
        <v>24500.5</v>
      </c>
      <c r="AF1425" s="341">
        <v>24500.5</v>
      </c>
      <c r="AG1425" s="341">
        <v>24700.000000000004</v>
      </c>
      <c r="AH1425" s="341">
        <v>26750</v>
      </c>
      <c r="AI1425" s="341">
        <v>27100</v>
      </c>
      <c r="AJ1425" s="341">
        <v>26900</v>
      </c>
      <c r="AK1425" s="341">
        <v>27440.5</v>
      </c>
      <c r="AL1425" s="341">
        <v>26800</v>
      </c>
      <c r="AM1425" s="341">
        <v>25550</v>
      </c>
      <c r="AN1425" s="341">
        <v>26050.5</v>
      </c>
      <c r="AO1425" s="341">
        <v>25600</v>
      </c>
      <c r="AP1425" s="341">
        <v>26275</v>
      </c>
      <c r="AQ1425" s="341">
        <v>26750</v>
      </c>
      <c r="AR1425" s="341">
        <v>26650</v>
      </c>
      <c r="AS1425" s="341">
        <v>28000</v>
      </c>
      <c r="AT1425" s="341">
        <v>26725</v>
      </c>
      <c r="AU1425" s="341">
        <v>26200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26200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1.5239</v>
      </c>
      <c r="G1426" s="271">
        <v>1.5295000000000001</v>
      </c>
      <c r="H1426" s="271">
        <v>1.5022</v>
      </c>
      <c r="I1426" s="271">
        <v>1.5072000000000001</v>
      </c>
      <c r="J1426" s="271">
        <v>1.5072000000000001</v>
      </c>
      <c r="K1426" s="271">
        <v>1.5014000000000001</v>
      </c>
      <c r="L1426" s="271">
        <v>1.5205</v>
      </c>
      <c r="M1426" s="271">
        <v>1.5095000000000001</v>
      </c>
      <c r="N1426" s="271">
        <v>1.5173000000000001</v>
      </c>
      <c r="O1426" s="271">
        <v>1.534</v>
      </c>
      <c r="P1426" s="271">
        <v>1.4995000000000001</v>
      </c>
      <c r="Q1426" s="271">
        <v>1.4995000000000001</v>
      </c>
      <c r="R1426" s="271">
        <v>1.5357000000000001</v>
      </c>
      <c r="S1426" s="271">
        <v>1.5357000000000001</v>
      </c>
      <c r="T1426" s="271">
        <v>1.5386</v>
      </c>
      <c r="U1426" s="271">
        <v>1.5354000000000001</v>
      </c>
      <c r="V1426" s="271">
        <v>1.5348999999999999</v>
      </c>
      <c r="W1426" s="271">
        <v>1.5329999999999999</v>
      </c>
      <c r="X1426" s="271">
        <v>1.5294000000000001</v>
      </c>
      <c r="Y1426" s="271">
        <v>1.522</v>
      </c>
      <c r="Z1426" s="273">
        <f ca="1">[1]ExtEntry!$R38</f>
        <v>1.522</v>
      </c>
      <c r="AB1426" s="341">
        <v>11480</v>
      </c>
      <c r="AC1426" s="341">
        <v>11025</v>
      </c>
      <c r="AD1426" s="341">
        <v>8743.7000000000007</v>
      </c>
      <c r="AE1426" s="341">
        <v>9295.3000000000011</v>
      </c>
      <c r="AF1426" s="341">
        <v>9295.3000000000011</v>
      </c>
      <c r="AG1426" s="341">
        <v>10217.9</v>
      </c>
      <c r="AH1426" s="341">
        <v>10150</v>
      </c>
      <c r="AI1426" s="341">
        <v>10220</v>
      </c>
      <c r="AJ1426" s="341">
        <v>11410</v>
      </c>
      <c r="AK1426" s="341">
        <v>12075</v>
      </c>
      <c r="AL1426" s="341">
        <v>8049.9999999999991</v>
      </c>
      <c r="AM1426" s="341">
        <v>7490</v>
      </c>
      <c r="AN1426" s="341">
        <v>6621.3</v>
      </c>
      <c r="AO1426" s="341">
        <v>6673.8</v>
      </c>
      <c r="AP1426" s="341">
        <v>6035.4</v>
      </c>
      <c r="AQ1426" s="341">
        <v>6860</v>
      </c>
      <c r="AR1426" s="341">
        <v>6860.7</v>
      </c>
      <c r="AS1426" s="341">
        <v>6930</v>
      </c>
      <c r="AT1426" s="341">
        <v>7210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7210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1.2659</v>
      </c>
      <c r="G1427" s="271">
        <v>1.272</v>
      </c>
      <c r="H1427" s="271">
        <v>1.2583</v>
      </c>
      <c r="I1427" s="271">
        <v>1.2589999999999999</v>
      </c>
      <c r="J1427" s="271">
        <v>1.2589999999999999</v>
      </c>
      <c r="K1427" s="271">
        <v>1.2181999999999999</v>
      </c>
      <c r="L1427" s="271">
        <v>1.2826</v>
      </c>
      <c r="M1427" s="271">
        <v>1.2496</v>
      </c>
      <c r="N1427" s="271">
        <v>1.2819</v>
      </c>
      <c r="O1427" s="271">
        <v>1.2917000000000001</v>
      </c>
      <c r="P1427" s="271">
        <v>1.2672000000000001</v>
      </c>
      <c r="Q1427" s="271">
        <v>1.2672000000000001</v>
      </c>
      <c r="R1427" s="271">
        <v>1.266</v>
      </c>
      <c r="S1427" s="271">
        <v>1.266</v>
      </c>
      <c r="T1427" s="271">
        <v>1.2617</v>
      </c>
      <c r="U1427" s="271">
        <v>1.2593000000000001</v>
      </c>
      <c r="V1427" s="271">
        <v>1.2605999999999999</v>
      </c>
      <c r="W1427" s="271">
        <v>1.2653000000000001</v>
      </c>
      <c r="X1427" s="271">
        <v>1.2625</v>
      </c>
      <c r="Y1427" s="271">
        <v>1.2568999999999999</v>
      </c>
      <c r="Z1427" s="273">
        <f ca="1">[1]ExtEntry!$R39</f>
        <v>1.2568999999999999</v>
      </c>
      <c r="AB1427" s="341">
        <v>124277.99999999999</v>
      </c>
      <c r="AC1427" s="341">
        <v>126752.99999999999</v>
      </c>
      <c r="AD1427" s="341">
        <v>134211</v>
      </c>
      <c r="AE1427" s="341">
        <v>129888</v>
      </c>
      <c r="AF1427" s="341">
        <v>129888</v>
      </c>
      <c r="AG1427" s="341">
        <v>136488</v>
      </c>
      <c r="AH1427" s="341">
        <v>93702</v>
      </c>
      <c r="AI1427" s="341">
        <v>95726</v>
      </c>
      <c r="AJ1427" s="341">
        <v>91379</v>
      </c>
      <c r="AK1427" s="341">
        <v>12057</v>
      </c>
      <c r="AL1427" s="341"/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0.49030000000000001</v>
      </c>
      <c r="G1428" s="271">
        <v>0.49130000000000001</v>
      </c>
      <c r="H1428" s="271">
        <v>0.48909999999999998</v>
      </c>
      <c r="I1428" s="271">
        <v>0.48930000000000001</v>
      </c>
      <c r="J1428" s="271">
        <v>0.48930000000000001</v>
      </c>
      <c r="K1428" s="271">
        <v>0.48959999999999998</v>
      </c>
      <c r="L1428" s="271">
        <v>0.48949999999999999</v>
      </c>
      <c r="M1428" s="271">
        <v>0.48930000000000001</v>
      </c>
      <c r="N1428" s="271">
        <v>0.49</v>
      </c>
      <c r="O1428" s="271">
        <v>0.49099999999999999</v>
      </c>
      <c r="P1428" s="271">
        <v>0.49359999999999998</v>
      </c>
      <c r="Q1428" s="271">
        <v>0.48920000000000002</v>
      </c>
      <c r="R1428" s="271">
        <v>0.48959999999999998</v>
      </c>
      <c r="S1428" s="271">
        <v>0.48849999999999999</v>
      </c>
      <c r="T1428" s="271">
        <v>0.48530000000000001</v>
      </c>
      <c r="U1428" s="271">
        <v>0.48559999999999998</v>
      </c>
      <c r="V1428" s="271">
        <v>0.47920000000000001</v>
      </c>
      <c r="W1428" s="271">
        <v>0.48359999999999997</v>
      </c>
      <c r="X1428" s="271">
        <v>0.48139999999999999</v>
      </c>
      <c r="Y1428" s="271">
        <v>0.48020000000000002</v>
      </c>
      <c r="Z1428" s="273">
        <f ca="1">[1]ExtEntry!$R40</f>
        <v>0.48020000000000002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1.1674</v>
      </c>
      <c r="G1429" s="271">
        <v>1.1654</v>
      </c>
      <c r="H1429" s="271">
        <v>1.1621999999999999</v>
      </c>
      <c r="I1429" s="271">
        <v>1.1626000000000001</v>
      </c>
      <c r="J1429" s="271">
        <v>1.1626000000000001</v>
      </c>
      <c r="K1429" s="271">
        <v>1.1636</v>
      </c>
      <c r="L1429" s="271">
        <v>1.1642999999999999</v>
      </c>
      <c r="M1429" s="271">
        <v>1.1625000000000001</v>
      </c>
      <c r="N1429" s="271">
        <v>1.1649</v>
      </c>
      <c r="O1429" s="271">
        <v>1.1666000000000001</v>
      </c>
      <c r="P1429" s="271">
        <v>1.17</v>
      </c>
      <c r="Q1429" s="271">
        <v>1.1682999999999999</v>
      </c>
      <c r="R1429" s="271">
        <v>1.1694</v>
      </c>
      <c r="S1429" s="271">
        <v>1.1639999999999999</v>
      </c>
      <c r="T1429" s="271">
        <v>1.1641999999999999</v>
      </c>
      <c r="U1429" s="271">
        <v>1.1692</v>
      </c>
      <c r="V1429" s="271">
        <v>1.1664000000000001</v>
      </c>
      <c r="W1429" s="271">
        <v>1.1682999999999999</v>
      </c>
      <c r="X1429" s="271">
        <v>1.1718999999999999</v>
      </c>
      <c r="Y1429" s="271">
        <v>1.1747000000000001</v>
      </c>
      <c r="Z1429" s="273">
        <f ca="1">[1]ExtEntry!$R41</f>
        <v>1.1747000000000001</v>
      </c>
      <c r="AB1429" s="341">
        <v>239650</v>
      </c>
      <c r="AC1429" s="341">
        <v>238700</v>
      </c>
      <c r="AD1429" s="341">
        <v>236450</v>
      </c>
      <c r="AE1429" s="341">
        <v>236900</v>
      </c>
      <c r="AF1429" s="341">
        <v>236900</v>
      </c>
      <c r="AG1429" s="341">
        <v>233750</v>
      </c>
      <c r="AH1429" s="341">
        <v>233000</v>
      </c>
      <c r="AI1429" s="341">
        <v>231850</v>
      </c>
      <c r="AJ1429" s="341">
        <v>236400</v>
      </c>
      <c r="AK1429" s="341">
        <v>236350</v>
      </c>
      <c r="AL1429" s="341">
        <v>233450</v>
      </c>
      <c r="AM1429" s="341">
        <v>227800</v>
      </c>
      <c r="AN1429" s="341">
        <v>230450</v>
      </c>
      <c r="AO1429" s="341">
        <v>234400</v>
      </c>
      <c r="AP1429" s="341">
        <v>232100</v>
      </c>
      <c r="AQ1429" s="341">
        <v>230450</v>
      </c>
      <c r="AR1429" s="341">
        <v>230300</v>
      </c>
      <c r="AS1429" s="341">
        <v>223700</v>
      </c>
      <c r="AT1429" s="341">
        <v>219800</v>
      </c>
      <c r="AU1429" s="341">
        <v>220900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220900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1.4641</v>
      </c>
      <c r="G1430" s="271">
        <v>1.4814000000000001</v>
      </c>
      <c r="H1430" s="271">
        <v>1.4712000000000001</v>
      </c>
      <c r="I1430" s="271">
        <v>1.4666999999999999</v>
      </c>
      <c r="J1430" s="271">
        <v>1.4666999999999999</v>
      </c>
      <c r="K1430" s="271">
        <v>1.4686999999999999</v>
      </c>
      <c r="L1430" s="271">
        <v>1.4572000000000001</v>
      </c>
      <c r="M1430" s="271">
        <v>1.4756</v>
      </c>
      <c r="N1430" s="271">
        <v>1.484</v>
      </c>
      <c r="O1430" s="271">
        <v>1.4814000000000001</v>
      </c>
      <c r="P1430" s="271">
        <v>1.4755</v>
      </c>
      <c r="Q1430" s="271">
        <v>1.4805999999999999</v>
      </c>
      <c r="R1430" s="271">
        <v>1.4825999999999999</v>
      </c>
      <c r="S1430" s="271">
        <v>1.4825999999999999</v>
      </c>
      <c r="T1430" s="271">
        <v>1.4856</v>
      </c>
      <c r="U1430" s="271">
        <v>1.4826999999999999</v>
      </c>
      <c r="V1430" s="271">
        <v>1.4746999999999999</v>
      </c>
      <c r="W1430" s="271">
        <v>1.4789000000000001</v>
      </c>
      <c r="X1430" s="271">
        <v>1.4729000000000001</v>
      </c>
      <c r="Y1430" s="271">
        <v>1.4705999999999999</v>
      </c>
      <c r="Z1430" s="273">
        <f ca="1">[1]ExtEntry!$R42</f>
        <v>1.4705999999999999</v>
      </c>
      <c r="AB1430" s="341">
        <v>161227.5</v>
      </c>
      <c r="AC1430" s="341">
        <v>164745</v>
      </c>
      <c r="AD1430" s="341">
        <v>164430</v>
      </c>
      <c r="AE1430" s="341">
        <v>163800</v>
      </c>
      <c r="AF1430" s="341">
        <v>163800</v>
      </c>
      <c r="AG1430" s="341">
        <v>164010</v>
      </c>
      <c r="AH1430" s="341">
        <v>163485</v>
      </c>
      <c r="AI1430" s="341">
        <v>164850</v>
      </c>
      <c r="AJ1430" s="341">
        <v>163065</v>
      </c>
      <c r="AK1430" s="341">
        <v>164220</v>
      </c>
      <c r="AL1430" s="341">
        <v>160125</v>
      </c>
      <c r="AM1430" s="341">
        <v>158130</v>
      </c>
      <c r="AN1430" s="341">
        <v>157920</v>
      </c>
      <c r="AO1430" s="341">
        <v>158865</v>
      </c>
      <c r="AP1430" s="341">
        <v>156555</v>
      </c>
      <c r="AQ1430" s="341">
        <v>158655</v>
      </c>
      <c r="AR1430" s="341">
        <v>156555</v>
      </c>
      <c r="AS1430" s="341">
        <v>156450</v>
      </c>
      <c r="AT1430" s="341">
        <v>158182.5</v>
      </c>
      <c r="AU1430" s="341">
        <v>156030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156030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1.6242000000000001</v>
      </c>
      <c r="G1431" s="271">
        <v>1.6187</v>
      </c>
      <c r="H1431" s="271">
        <v>1.6237999999999999</v>
      </c>
      <c r="I1431" s="271">
        <v>1.6235999999999999</v>
      </c>
      <c r="J1431" s="271">
        <v>1.6235999999999999</v>
      </c>
      <c r="K1431" s="271">
        <v>1.6314</v>
      </c>
      <c r="L1431" s="271">
        <v>1.6312</v>
      </c>
      <c r="M1431" s="271">
        <v>1.631</v>
      </c>
      <c r="N1431" s="271">
        <v>1.6291</v>
      </c>
      <c r="O1431" s="271">
        <v>1.6304000000000001</v>
      </c>
      <c r="P1431" s="271">
        <v>1.6288</v>
      </c>
      <c r="Q1431" s="271">
        <v>1.6288</v>
      </c>
      <c r="R1431" s="271">
        <v>1.5926</v>
      </c>
      <c r="S1431" s="271">
        <v>1.5926</v>
      </c>
      <c r="T1431" s="271">
        <v>1.5931999999999999</v>
      </c>
      <c r="U1431" s="271">
        <v>1.5936999999999999</v>
      </c>
      <c r="V1431" s="271">
        <v>1.593</v>
      </c>
      <c r="W1431" s="271">
        <v>1.5929</v>
      </c>
      <c r="X1431" s="271">
        <v>1.5918000000000001</v>
      </c>
      <c r="Y1431" s="271">
        <v>1.5848</v>
      </c>
      <c r="Z1431" s="273">
        <f ca="1">[1]ExtEntry!$R43</f>
        <v>1.5848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2.0663999999999998</v>
      </c>
      <c r="G1432" s="271">
        <v>2.0655999999999999</v>
      </c>
      <c r="H1432" s="271">
        <v>2.0640999999999998</v>
      </c>
      <c r="I1432" s="271">
        <v>2.0648</v>
      </c>
      <c r="J1432" s="271">
        <v>2.0648</v>
      </c>
      <c r="K1432" s="271">
        <v>2.0625</v>
      </c>
      <c r="L1432" s="271">
        <v>2.0666000000000002</v>
      </c>
      <c r="M1432" s="271">
        <v>2.0657000000000001</v>
      </c>
      <c r="N1432" s="271">
        <v>2.0691999999999999</v>
      </c>
      <c r="O1432" s="271">
        <v>2.0699999999999998</v>
      </c>
      <c r="P1432" s="271">
        <v>2.0649999999999999</v>
      </c>
      <c r="Q1432" s="271">
        <v>2.0649999999999999</v>
      </c>
      <c r="R1432" s="271">
        <v>2.0396999999999998</v>
      </c>
      <c r="S1432" s="271">
        <v>2.0396999999999998</v>
      </c>
      <c r="T1432" s="271">
        <v>2.0392000000000001</v>
      </c>
      <c r="U1432" s="271">
        <v>2.0363000000000002</v>
      </c>
      <c r="V1432" s="271">
        <v>2.0379</v>
      </c>
      <c r="W1432" s="271">
        <v>2.0385</v>
      </c>
      <c r="X1432" s="271">
        <v>2.0388999999999999</v>
      </c>
      <c r="Y1432" s="271">
        <v>2.0426000000000002</v>
      </c>
      <c r="Z1432" s="273">
        <f ca="1">[1]ExtEntry!$R44</f>
        <v>2.0426000000000002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1.2370000000000001</v>
      </c>
      <c r="G1433" s="271">
        <v>1.2366999999999999</v>
      </c>
      <c r="H1433" s="271">
        <v>1.2361</v>
      </c>
      <c r="I1433" s="271">
        <v>1.2379</v>
      </c>
      <c r="J1433" s="271">
        <v>1.2379</v>
      </c>
      <c r="K1433" s="271">
        <v>1.2394000000000001</v>
      </c>
      <c r="L1433" s="271">
        <v>1.2344999999999999</v>
      </c>
      <c r="M1433" s="271">
        <v>1.2375</v>
      </c>
      <c r="N1433" s="271">
        <v>1.2362</v>
      </c>
      <c r="O1433" s="271">
        <v>1.2353000000000001</v>
      </c>
      <c r="P1433" s="271">
        <v>1.2345999999999999</v>
      </c>
      <c r="Q1433" s="271">
        <v>1.2345999999999999</v>
      </c>
      <c r="R1433" s="271">
        <v>1.2624</v>
      </c>
      <c r="S1433" s="271">
        <v>1.2624</v>
      </c>
      <c r="T1433" s="271">
        <v>1.2613000000000001</v>
      </c>
      <c r="U1433" s="271">
        <v>1.2579</v>
      </c>
      <c r="V1433" s="271">
        <v>1.2579</v>
      </c>
      <c r="W1433" s="271">
        <v>1.2586999999999999</v>
      </c>
      <c r="X1433" s="271">
        <v>1.26</v>
      </c>
      <c r="Y1433" s="271">
        <v>1.2664</v>
      </c>
      <c r="Z1433" s="273">
        <f ca="1">[1]ExtEntry!$R45</f>
        <v>1.2664</v>
      </c>
      <c r="AB1433" s="341">
        <v>839580</v>
      </c>
      <c r="AC1433" s="341">
        <v>837309.2</v>
      </c>
      <c r="AD1433" s="341">
        <v>843281.25</v>
      </c>
      <c r="AE1433" s="341">
        <v>818965</v>
      </c>
      <c r="AF1433" s="341">
        <v>818965</v>
      </c>
      <c r="AG1433" s="341">
        <v>800590</v>
      </c>
      <c r="AH1433" s="341">
        <v>824670</v>
      </c>
      <c r="AI1433" s="341">
        <v>834820</v>
      </c>
      <c r="AJ1433" s="341">
        <v>837410</v>
      </c>
      <c r="AK1433" s="341">
        <v>833175</v>
      </c>
      <c r="AL1433" s="341">
        <v>808045</v>
      </c>
      <c r="AM1433" s="341">
        <v>793817.5</v>
      </c>
      <c r="AN1433" s="341">
        <v>805770</v>
      </c>
      <c r="AO1433" s="341">
        <v>809865</v>
      </c>
      <c r="AP1433" s="341">
        <v>823235</v>
      </c>
      <c r="AQ1433" s="341">
        <v>865130</v>
      </c>
      <c r="AR1433" s="341">
        <v>878080</v>
      </c>
      <c r="AS1433" s="341">
        <v>911470</v>
      </c>
      <c r="AT1433" s="341">
        <v>905835</v>
      </c>
      <c r="AU1433" s="341">
        <v>907830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907830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0.99990000000000001</v>
      </c>
      <c r="G1434" s="271">
        <v>1.0044</v>
      </c>
      <c r="H1434" s="271">
        <v>1.0096000000000001</v>
      </c>
      <c r="I1434" s="271">
        <v>1.0092000000000001</v>
      </c>
      <c r="J1434" s="271">
        <v>1.0092000000000001</v>
      </c>
      <c r="K1434" s="271">
        <v>1.0081</v>
      </c>
      <c r="L1434" s="271">
        <v>1.0075000000000001</v>
      </c>
      <c r="M1434" s="271">
        <v>1.0093000000000001</v>
      </c>
      <c r="N1434" s="271">
        <v>1.0069999999999999</v>
      </c>
      <c r="O1434" s="271">
        <v>1.0045999999999999</v>
      </c>
      <c r="P1434" s="271">
        <v>1.0021</v>
      </c>
      <c r="Q1434" s="271">
        <v>1.0095000000000001</v>
      </c>
      <c r="R1434" s="271">
        <v>1.0101</v>
      </c>
      <c r="S1434" s="271">
        <v>1.0101</v>
      </c>
      <c r="T1434" s="271">
        <v>1.0039</v>
      </c>
      <c r="U1434" s="271">
        <v>1.0089999999999999</v>
      </c>
      <c r="V1434" s="271">
        <v>1.0072000000000001</v>
      </c>
      <c r="W1434" s="271">
        <v>1.0078</v>
      </c>
      <c r="X1434" s="271">
        <v>1.0031000000000001</v>
      </c>
      <c r="Y1434" s="271">
        <v>1.0064</v>
      </c>
      <c r="Z1434" s="273">
        <f ca="1">[1]ExtEntry!$R46</f>
        <v>1.0064</v>
      </c>
      <c r="AB1434" s="341">
        <v>86135</v>
      </c>
      <c r="AC1434" s="341">
        <v>87860</v>
      </c>
      <c r="AD1434" s="341">
        <v>86365</v>
      </c>
      <c r="AE1434" s="341">
        <v>86365</v>
      </c>
      <c r="AF1434" s="341">
        <v>86365</v>
      </c>
      <c r="AG1434" s="341">
        <v>86595</v>
      </c>
      <c r="AH1434" s="341">
        <v>88550</v>
      </c>
      <c r="AI1434" s="341">
        <v>86250</v>
      </c>
      <c r="AJ1434" s="341">
        <v>85330</v>
      </c>
      <c r="AK1434" s="341">
        <v>86710</v>
      </c>
      <c r="AL1434" s="341">
        <v>84065</v>
      </c>
      <c r="AM1434" s="341">
        <v>81190</v>
      </c>
      <c r="AN1434" s="341">
        <v>82340</v>
      </c>
      <c r="AO1434" s="341">
        <v>82340</v>
      </c>
      <c r="AP1434" s="341">
        <v>84180</v>
      </c>
      <c r="AQ1434" s="341">
        <v>80960</v>
      </c>
      <c r="AR1434" s="341">
        <v>81880</v>
      </c>
      <c r="AS1434" s="341">
        <v>83375</v>
      </c>
      <c r="AT1434" s="341">
        <v>81305</v>
      </c>
      <c r="AU1434" s="341">
        <v>83375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83375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1.5165</v>
      </c>
      <c r="G1435" s="271">
        <v>1.5132000000000001</v>
      </c>
      <c r="H1435" s="271">
        <v>1.5198</v>
      </c>
      <c r="I1435" s="271">
        <v>1.5194000000000001</v>
      </c>
      <c r="J1435" s="271">
        <v>1.5194000000000001</v>
      </c>
      <c r="K1435" s="271">
        <v>1.5336000000000001</v>
      </c>
      <c r="L1435" s="271">
        <v>1.5129999999999999</v>
      </c>
      <c r="M1435" s="271">
        <v>1.5233000000000001</v>
      </c>
      <c r="N1435" s="271">
        <v>1.5146999999999999</v>
      </c>
      <c r="O1435" s="271">
        <v>1.5104</v>
      </c>
      <c r="P1435" s="271">
        <v>1.5154000000000001</v>
      </c>
      <c r="Q1435" s="271">
        <v>1.5154000000000001</v>
      </c>
      <c r="R1435" s="271">
        <v>1.5855999999999999</v>
      </c>
      <c r="S1435" s="271">
        <v>1.5855999999999999</v>
      </c>
      <c r="T1435" s="271">
        <v>1.5791999999999999</v>
      </c>
      <c r="U1435" s="271">
        <v>1.5765</v>
      </c>
      <c r="V1435" s="271">
        <v>1.5703</v>
      </c>
      <c r="W1435" s="271">
        <v>1.5747</v>
      </c>
      <c r="X1435" s="271">
        <v>1.5786</v>
      </c>
      <c r="Y1435" s="271">
        <v>1.5868</v>
      </c>
      <c r="Z1435" s="273">
        <f ca="1">[1]ExtEntry!$R47</f>
        <v>1.5868</v>
      </c>
      <c r="AB1435" s="341">
        <v>34184.550000000003</v>
      </c>
      <c r="AC1435" s="341">
        <v>32378.474999999999</v>
      </c>
      <c r="AD1435" s="341">
        <v>32483.174999999999</v>
      </c>
      <c r="AE1435" s="341">
        <v>32457</v>
      </c>
      <c r="AF1435" s="341">
        <v>32457</v>
      </c>
      <c r="AG1435" s="341">
        <v>31933.499999999996</v>
      </c>
      <c r="AH1435" s="341">
        <v>32875.800000000003</v>
      </c>
      <c r="AI1435" s="341">
        <v>33975.15</v>
      </c>
      <c r="AJ1435" s="341">
        <v>34708.050000000003</v>
      </c>
      <c r="AK1435" s="341">
        <v>35598</v>
      </c>
      <c r="AL1435" s="341">
        <v>32980.5</v>
      </c>
      <c r="AM1435" s="341">
        <v>31645.575000000001</v>
      </c>
      <c r="AN1435" s="341">
        <v>31331.475000000002</v>
      </c>
      <c r="AO1435" s="341">
        <v>31567.050000000003</v>
      </c>
      <c r="AP1435" s="341">
        <v>32718.75</v>
      </c>
      <c r="AQ1435" s="341">
        <v>116550.315</v>
      </c>
      <c r="AR1435" s="341">
        <v>114861.18</v>
      </c>
      <c r="AS1435" s="341">
        <v>110195.95</v>
      </c>
      <c r="AT1435" s="341">
        <v>114780.745</v>
      </c>
      <c r="AU1435" s="341">
        <v>111643.78000000001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111643.78000000001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1.1746000000000001</v>
      </c>
      <c r="G1436" s="271">
        <v>1.1751</v>
      </c>
      <c r="H1436" s="271">
        <v>1.1742999999999999</v>
      </c>
      <c r="I1436" s="271">
        <v>1.1741999999999999</v>
      </c>
      <c r="J1436" s="271">
        <v>1.1741999999999999</v>
      </c>
      <c r="K1436" s="271">
        <v>1.1746000000000001</v>
      </c>
      <c r="L1436" s="271">
        <v>1.171</v>
      </c>
      <c r="M1436" s="271">
        <v>1.173</v>
      </c>
      <c r="N1436" s="271">
        <v>1.1719999999999999</v>
      </c>
      <c r="O1436" s="271">
        <v>1.1717</v>
      </c>
      <c r="P1436" s="271">
        <v>1.1721999999999999</v>
      </c>
      <c r="Q1436" s="271">
        <v>1.1721999999999999</v>
      </c>
      <c r="R1436" s="271">
        <v>1.2028000000000001</v>
      </c>
      <c r="S1436" s="271">
        <v>1.2013</v>
      </c>
      <c r="T1436" s="271">
        <v>1.2005999999999999</v>
      </c>
      <c r="U1436" s="271">
        <v>1.1936</v>
      </c>
      <c r="V1436" s="271">
        <v>1.1934</v>
      </c>
      <c r="W1436" s="271">
        <v>1.1973</v>
      </c>
      <c r="X1436" s="271">
        <v>1.1987000000000001</v>
      </c>
      <c r="Y1436" s="271">
        <v>1.21</v>
      </c>
      <c r="Z1436" s="273">
        <f ca="1">[1]ExtEntry!$R48</f>
        <v>1.21</v>
      </c>
      <c r="AB1436" s="341">
        <v>49534.399999999994</v>
      </c>
      <c r="AC1436" s="341">
        <v>48897.600000000006</v>
      </c>
      <c r="AD1436" s="341">
        <v>48403.280000000006</v>
      </c>
      <c r="AE1436" s="341">
        <v>47081.599999999999</v>
      </c>
      <c r="AF1436" s="341">
        <v>47081.599999999999</v>
      </c>
      <c r="AG1436" s="341">
        <v>46587.200000000004</v>
      </c>
      <c r="AH1436" s="341">
        <v>47076.800000000003</v>
      </c>
      <c r="AI1436" s="341">
        <v>47681.599999999999</v>
      </c>
      <c r="AJ1436" s="341">
        <v>48048.415999999997</v>
      </c>
      <c r="AK1436" s="341">
        <v>49348.800000000003</v>
      </c>
      <c r="AL1436" s="341">
        <v>47582.399999999994</v>
      </c>
      <c r="AM1436" s="341">
        <v>47097.615999999995</v>
      </c>
      <c r="AN1436" s="341">
        <v>47910.400000000001</v>
      </c>
      <c r="AO1436" s="341">
        <v>48382.399999999994</v>
      </c>
      <c r="AP1436" s="341">
        <v>48976</v>
      </c>
      <c r="AQ1436" s="341">
        <v>55304</v>
      </c>
      <c r="AR1436" s="341">
        <v>53867.200000000004</v>
      </c>
      <c r="AS1436" s="341">
        <v>59131.199999999997</v>
      </c>
      <c r="AT1436" s="341">
        <v>57532.799999999996</v>
      </c>
      <c r="AU1436" s="341">
        <v>57579.199999999997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57579.199999999997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0.90259999999999996</v>
      </c>
      <c r="G1437" s="271">
        <v>0.90259999999999996</v>
      </c>
      <c r="H1437" s="271">
        <v>0.90339999999999998</v>
      </c>
      <c r="I1437" s="271">
        <v>0.90300000000000002</v>
      </c>
      <c r="J1437" s="271">
        <v>0.90300000000000002</v>
      </c>
      <c r="K1437" s="271">
        <v>0.9032</v>
      </c>
      <c r="L1437" s="271">
        <v>0.90590000000000004</v>
      </c>
      <c r="M1437" s="271">
        <v>0.90539999999999998</v>
      </c>
      <c r="N1437" s="271">
        <v>0.90480000000000005</v>
      </c>
      <c r="O1437" s="271">
        <v>0.90380000000000005</v>
      </c>
      <c r="P1437" s="271">
        <v>0.90349999999999997</v>
      </c>
      <c r="Q1437" s="271">
        <v>0.90259999999999996</v>
      </c>
      <c r="R1437" s="271">
        <v>0.90410000000000001</v>
      </c>
      <c r="S1437" s="271">
        <v>0.90410000000000001</v>
      </c>
      <c r="T1437" s="271">
        <v>0.90880000000000005</v>
      </c>
      <c r="U1437" s="271">
        <v>0.90749999999999997</v>
      </c>
      <c r="V1437" s="271">
        <v>0.90610000000000002</v>
      </c>
      <c r="W1437" s="271">
        <v>0.90400000000000003</v>
      </c>
      <c r="X1437" s="271">
        <v>0.90510000000000002</v>
      </c>
      <c r="Y1437" s="271">
        <v>0.90549999999999997</v>
      </c>
      <c r="Z1437" s="273">
        <f ca="1">[1]ExtEntry!$R49</f>
        <v>0.90549999999999997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1.0316000000000001</v>
      </c>
      <c r="G1438" s="271">
        <v>1.0321</v>
      </c>
      <c r="H1438" s="271">
        <v>1.032</v>
      </c>
      <c r="I1438" s="271">
        <v>1.0327</v>
      </c>
      <c r="J1438" s="271">
        <v>1.0327</v>
      </c>
      <c r="K1438" s="271">
        <v>1.0345</v>
      </c>
      <c r="L1438" s="271">
        <v>1.0333000000000001</v>
      </c>
      <c r="M1438" s="271">
        <v>1.0326</v>
      </c>
      <c r="N1438" s="271">
        <v>1.0329999999999999</v>
      </c>
      <c r="O1438" s="271">
        <v>1.0345</v>
      </c>
      <c r="P1438" s="271">
        <v>1.0303</v>
      </c>
      <c r="Q1438" s="271">
        <v>1.0328999999999999</v>
      </c>
      <c r="R1438" s="271">
        <v>1.0333000000000001</v>
      </c>
      <c r="S1438" s="271">
        <v>1.0333000000000001</v>
      </c>
      <c r="T1438" s="271">
        <v>1.0325</v>
      </c>
      <c r="U1438" s="271">
        <v>1.0319</v>
      </c>
      <c r="V1438" s="271">
        <v>1.0327999999999999</v>
      </c>
      <c r="W1438" s="271">
        <v>1.0331999999999999</v>
      </c>
      <c r="X1438" s="271">
        <v>1.0330999999999999</v>
      </c>
      <c r="Y1438" s="271">
        <v>1.0327999999999999</v>
      </c>
      <c r="Z1438" s="273">
        <f ca="1">[1]ExtEntry!$R50</f>
        <v>1.0327999999999999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0.92420000000000002</v>
      </c>
      <c r="G1439" s="271">
        <v>0.92700000000000005</v>
      </c>
      <c r="H1439" s="271">
        <v>0.92149999999999999</v>
      </c>
      <c r="I1439" s="271">
        <v>0.92149999999999999</v>
      </c>
      <c r="J1439" s="271">
        <v>0.92149999999999999</v>
      </c>
      <c r="K1439" s="271">
        <v>0.9113</v>
      </c>
      <c r="L1439" s="271">
        <v>0.92620000000000002</v>
      </c>
      <c r="M1439" s="271">
        <v>0.91859999999999997</v>
      </c>
      <c r="N1439" s="271">
        <v>0.92410000000000003</v>
      </c>
      <c r="O1439" s="271">
        <v>0.92759999999999998</v>
      </c>
      <c r="P1439" s="271">
        <v>0.92379999999999995</v>
      </c>
      <c r="Q1439" s="271">
        <v>0.92379999999999995</v>
      </c>
      <c r="R1439" s="271">
        <v>0.90180000000000005</v>
      </c>
      <c r="S1439" s="271">
        <v>0.9032</v>
      </c>
      <c r="T1439" s="271">
        <v>0.90539999999999998</v>
      </c>
      <c r="U1439" s="271">
        <v>0.90439999999999998</v>
      </c>
      <c r="V1439" s="271">
        <v>0.90469999999999995</v>
      </c>
      <c r="W1439" s="271">
        <v>0.90490000000000004</v>
      </c>
      <c r="X1439" s="271">
        <v>0.90490000000000004</v>
      </c>
      <c r="Y1439" s="271">
        <v>0.9022</v>
      </c>
      <c r="Z1439" s="273">
        <f ca="1">[1]ExtEntry!$R51</f>
        <v>0.9022</v>
      </c>
      <c r="AB1439" s="341">
        <v>52850</v>
      </c>
      <c r="AC1439" s="341">
        <v>52800</v>
      </c>
      <c r="AD1439" s="341">
        <v>53650</v>
      </c>
      <c r="AE1439" s="341">
        <v>53125</v>
      </c>
      <c r="AF1439" s="341">
        <v>53125</v>
      </c>
      <c r="AG1439" s="341">
        <v>53250</v>
      </c>
      <c r="AH1439" s="341"/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0.81540000000000001</v>
      </c>
      <c r="G1440" s="271">
        <v>0.81630000000000003</v>
      </c>
      <c r="H1440" s="271">
        <v>0.81520000000000004</v>
      </c>
      <c r="I1440" s="271">
        <v>0.81530000000000002</v>
      </c>
      <c r="J1440" s="271">
        <v>0.81530000000000002</v>
      </c>
      <c r="K1440" s="271">
        <v>0.81340000000000001</v>
      </c>
      <c r="L1440" s="271">
        <v>0.8165</v>
      </c>
      <c r="M1440" s="271">
        <v>0.81479999999999997</v>
      </c>
      <c r="N1440" s="271">
        <v>0.8155</v>
      </c>
      <c r="O1440" s="271">
        <v>0.81640000000000001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26898.75</v>
      </c>
      <c r="AC1440" s="341">
        <v>27054.9</v>
      </c>
      <c r="AD1440" s="341">
        <v>26988.75</v>
      </c>
      <c r="AE1440" s="341">
        <v>27101.25</v>
      </c>
      <c r="AF1440" s="341">
        <v>27101.25</v>
      </c>
      <c r="AG1440" s="341">
        <v>27450</v>
      </c>
      <c r="AH1440" s="341">
        <v>26932.5</v>
      </c>
      <c r="AI1440" s="341">
        <v>26820</v>
      </c>
      <c r="AJ1440" s="341">
        <v>26955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0.54490000000000005</v>
      </c>
      <c r="G1441" s="271">
        <v>0.54459999999999997</v>
      </c>
      <c r="H1441" s="271">
        <v>0.54400000000000004</v>
      </c>
      <c r="I1441" s="271">
        <v>0.54590000000000005</v>
      </c>
      <c r="J1441" s="271">
        <v>0.54590000000000005</v>
      </c>
      <c r="K1441" s="271">
        <v>0.54920000000000002</v>
      </c>
      <c r="L1441" s="271">
        <v>0.54720000000000002</v>
      </c>
      <c r="M1441" s="271">
        <v>0.5484</v>
      </c>
      <c r="N1441" s="271">
        <v>0.5474</v>
      </c>
      <c r="O1441" s="271">
        <v>0.54769999999999996</v>
      </c>
      <c r="P1441" s="271">
        <v>0.54910000000000003</v>
      </c>
      <c r="Q1441" s="271">
        <v>0.54910000000000003</v>
      </c>
      <c r="R1441" s="271">
        <v>0.49469999999999997</v>
      </c>
      <c r="S1441" s="271">
        <v>0.49469999999999997</v>
      </c>
      <c r="T1441" s="271">
        <v>0.49469999999999997</v>
      </c>
      <c r="U1441" s="271">
        <v>0.4975</v>
      </c>
      <c r="V1441" s="271">
        <v>0.49619999999999997</v>
      </c>
      <c r="W1441" s="271">
        <v>0.49480000000000002</v>
      </c>
      <c r="X1441" s="271">
        <v>0.49330000000000002</v>
      </c>
      <c r="Y1441" s="271">
        <v>0.49020000000000002</v>
      </c>
      <c r="Z1441" s="273">
        <f ca="1">[1]ExtEntry!$R53</f>
        <v>0.49020000000000002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1.1479999999999999</v>
      </c>
      <c r="M1442" s="271">
        <v>1.1479999999999999</v>
      </c>
      <c r="N1442" s="271">
        <v>1.1479999999999999</v>
      </c>
      <c r="O1442" s="271">
        <v>1.1479999999999999</v>
      </c>
      <c r="P1442" s="271">
        <v>1.147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1.149</v>
      </c>
      <c r="V1442" s="271">
        <v>1.149</v>
      </c>
      <c r="W1442" s="271">
        <v>1.149</v>
      </c>
      <c r="X1442" s="271">
        <v>1.149</v>
      </c>
      <c r="Y1442" s="271">
        <v>1.1479999999999999</v>
      </c>
      <c r="Z1442" s="273">
        <f ca="1">[1]ExtEntry!$R54</f>
        <v>1.1479999999999999</v>
      </c>
      <c r="AB1442" s="341">
        <v>24444</v>
      </c>
      <c r="AC1442" s="341">
        <v>24528</v>
      </c>
      <c r="AD1442" s="341">
        <v>25410</v>
      </c>
      <c r="AE1442" s="341">
        <v>25893</v>
      </c>
      <c r="AF1442" s="341">
        <v>25893</v>
      </c>
      <c r="AG1442" s="341">
        <v>25368</v>
      </c>
      <c r="AH1442" s="341">
        <v>26208</v>
      </c>
      <c r="AI1442" s="341">
        <v>25242</v>
      </c>
      <c r="AJ1442" s="341">
        <v>25578</v>
      </c>
      <c r="AK1442" s="341">
        <v>25351.199999999997</v>
      </c>
      <c r="AL1442" s="341">
        <v>25200</v>
      </c>
      <c r="AM1442" s="341">
        <v>24591</v>
      </c>
      <c r="AN1442" s="341">
        <v>24906</v>
      </c>
      <c r="AO1442" s="341">
        <v>24696</v>
      </c>
      <c r="AP1442" s="341">
        <v>25284</v>
      </c>
      <c r="AQ1442" s="341">
        <v>25746</v>
      </c>
      <c r="AR1442" s="341">
        <v>25242</v>
      </c>
      <c r="AS1442" s="341">
        <v>24948</v>
      </c>
      <c r="AT1442" s="341">
        <v>25431</v>
      </c>
      <c r="AU1442" s="341">
        <v>25326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25326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0.95740000000000003</v>
      </c>
      <c r="G1443" s="271">
        <v>0.96179999999999999</v>
      </c>
      <c r="H1443" s="271">
        <v>0.96650000000000003</v>
      </c>
      <c r="I1443" s="271">
        <v>0.96950000000000003</v>
      </c>
      <c r="J1443" s="271">
        <v>0.96950000000000003</v>
      </c>
      <c r="K1443" s="271">
        <v>0.96679999999999999</v>
      </c>
      <c r="L1443" s="271">
        <v>0.96830000000000005</v>
      </c>
      <c r="M1443" s="271">
        <v>0.96619999999999995</v>
      </c>
      <c r="N1443" s="271">
        <v>0.96450000000000002</v>
      </c>
      <c r="O1443" s="271">
        <v>0.95879999999999999</v>
      </c>
      <c r="P1443" s="271">
        <v>0.96</v>
      </c>
      <c r="Q1443" s="271">
        <v>0.99380000000000002</v>
      </c>
      <c r="R1443" s="271">
        <v>0.99370000000000003</v>
      </c>
      <c r="S1443" s="271">
        <v>0.99370000000000003</v>
      </c>
      <c r="T1443" s="271">
        <v>0.99529999999999996</v>
      </c>
      <c r="U1443" s="271">
        <v>0.99280000000000002</v>
      </c>
      <c r="V1443" s="271">
        <v>0.99419999999999997</v>
      </c>
      <c r="W1443" s="271">
        <v>0.99380000000000002</v>
      </c>
      <c r="X1443" s="271">
        <v>0.99370000000000003</v>
      </c>
      <c r="Y1443" s="271">
        <v>0.99399999999999999</v>
      </c>
      <c r="Z1443" s="273">
        <f ca="1">[1]ExtEntry!$R55</f>
        <v>0.99399999999999999</v>
      </c>
      <c r="AB1443" s="341">
        <v>105570.23999999999</v>
      </c>
      <c r="AC1443" s="341">
        <v>103370.86</v>
      </c>
      <c r="AD1443" s="341">
        <v>105570.23999999999</v>
      </c>
      <c r="AE1443" s="341">
        <v>104250.61199999999</v>
      </c>
      <c r="AF1443" s="341">
        <v>104250.61199999999</v>
      </c>
      <c r="AG1443" s="341">
        <v>103370.86</v>
      </c>
      <c r="AH1443" s="341">
        <v>100951.542</v>
      </c>
      <c r="AI1443" s="341">
        <v>100071.79000000001</v>
      </c>
      <c r="AJ1443" s="341">
        <v>100951.542</v>
      </c>
      <c r="AK1443" s="341">
        <v>100951.542</v>
      </c>
      <c r="AL1443" s="341">
        <v>100291.728</v>
      </c>
      <c r="AM1443" s="341">
        <v>98972.1</v>
      </c>
      <c r="AN1443" s="341">
        <v>102051.232</v>
      </c>
      <c r="AO1443" s="341">
        <v>98972.1</v>
      </c>
      <c r="AP1443" s="341">
        <v>98092.347999999998</v>
      </c>
      <c r="AQ1443" s="341">
        <v>97872.41</v>
      </c>
      <c r="AR1443" s="341">
        <v>99192.038</v>
      </c>
      <c r="AS1443" s="341">
        <v>99851.851999999999</v>
      </c>
      <c r="AT1443" s="341">
        <v>97652.471999999994</v>
      </c>
      <c r="AU1443" s="341">
        <v>97872.41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97872.41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2.0981999999999998</v>
      </c>
      <c r="G1444" s="271">
        <v>2.0884999999999998</v>
      </c>
      <c r="H1444" s="271">
        <v>2.0867</v>
      </c>
      <c r="I1444" s="271">
        <v>2.0830000000000002</v>
      </c>
      <c r="J1444" s="271">
        <v>2.0830000000000002</v>
      </c>
      <c r="K1444" s="271">
        <v>2.0712999999999999</v>
      </c>
      <c r="L1444" s="271">
        <v>2.0884999999999998</v>
      </c>
      <c r="M1444" s="271">
        <v>2.0821000000000001</v>
      </c>
      <c r="N1444" s="271">
        <v>2.0903</v>
      </c>
      <c r="O1444" s="271">
        <v>2.1173999999999999</v>
      </c>
      <c r="P1444" s="271">
        <v>2.0941999999999998</v>
      </c>
      <c r="Q1444" s="271">
        <v>2.0941999999999998</v>
      </c>
      <c r="R1444" s="271">
        <v>2.0888</v>
      </c>
      <c r="S1444" s="271">
        <v>2.0888</v>
      </c>
      <c r="T1444" s="271">
        <v>2.0880000000000001</v>
      </c>
      <c r="U1444" s="271">
        <v>2.0886</v>
      </c>
      <c r="V1444" s="271">
        <v>2.0861000000000001</v>
      </c>
      <c r="W1444" s="271">
        <v>2.0857000000000001</v>
      </c>
      <c r="X1444" s="271">
        <v>2.0830000000000002</v>
      </c>
      <c r="Y1444" s="271">
        <v>2.0779999999999998</v>
      </c>
      <c r="Z1444" s="273">
        <f ca="1">[1]ExtEntry!$R56</f>
        <v>2.0779999999999998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0.67210000000000003</v>
      </c>
      <c r="G1445" s="271">
        <v>0.66920000000000002</v>
      </c>
      <c r="H1445" s="271">
        <v>0.66469999999999996</v>
      </c>
      <c r="I1445" s="271">
        <v>0.6603</v>
      </c>
      <c r="J1445" s="271">
        <v>0.6603</v>
      </c>
      <c r="K1445" s="271">
        <v>0.66390000000000005</v>
      </c>
      <c r="L1445" s="271">
        <v>0.66039999999999999</v>
      </c>
      <c r="M1445" s="271">
        <v>0.65659999999999996</v>
      </c>
      <c r="N1445" s="271">
        <v>0.66649999999999998</v>
      </c>
      <c r="O1445" s="271">
        <v>0.67410000000000003</v>
      </c>
      <c r="P1445" s="271">
        <v>0.67210000000000003</v>
      </c>
      <c r="Q1445" s="271">
        <v>0.68600000000000005</v>
      </c>
      <c r="R1445" s="271">
        <v>0.68620000000000003</v>
      </c>
      <c r="S1445" s="271">
        <v>0.68620000000000003</v>
      </c>
      <c r="T1445" s="271">
        <v>0.6855</v>
      </c>
      <c r="U1445" s="271">
        <v>0.68440000000000001</v>
      </c>
      <c r="V1445" s="271">
        <v>0.68240000000000001</v>
      </c>
      <c r="W1445" s="271">
        <v>0.68489999999999995</v>
      </c>
      <c r="X1445" s="271">
        <v>0.68530000000000002</v>
      </c>
      <c r="Y1445" s="271">
        <v>0.68569999999999998</v>
      </c>
      <c r="Z1445" s="273">
        <f ca="1">[1]ExtEntry!$R57</f>
        <v>0.68569999999999998</v>
      </c>
      <c r="AB1445" s="341">
        <v>266400</v>
      </c>
      <c r="AC1445" s="341">
        <v>269900</v>
      </c>
      <c r="AD1445" s="341">
        <v>267000</v>
      </c>
      <c r="AE1445" s="341">
        <v>270000</v>
      </c>
      <c r="AF1445" s="341">
        <v>270000</v>
      </c>
      <c r="AG1445" s="341">
        <v>272900</v>
      </c>
      <c r="AH1445" s="341">
        <v>267900</v>
      </c>
      <c r="AI1445" s="341">
        <v>264500</v>
      </c>
      <c r="AJ1445" s="341">
        <v>268400</v>
      </c>
      <c r="AK1445" s="341">
        <v>269800</v>
      </c>
      <c r="AL1445" s="341">
        <v>266900</v>
      </c>
      <c r="AM1445" s="341">
        <v>263400</v>
      </c>
      <c r="AN1445" s="341">
        <v>264500</v>
      </c>
      <c r="AO1445" s="341">
        <v>265600</v>
      </c>
      <c r="AP1445" s="341">
        <v>268600</v>
      </c>
      <c r="AQ1445" s="341">
        <v>273800</v>
      </c>
      <c r="AR1445" s="341">
        <v>278300</v>
      </c>
      <c r="AS1445" s="341">
        <v>273600</v>
      </c>
      <c r="AT1445" s="341">
        <v>272900</v>
      </c>
      <c r="AU1445" s="341">
        <v>275600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275600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0.71479999999999999</v>
      </c>
      <c r="G1446" s="271">
        <v>0.71519999999999995</v>
      </c>
      <c r="H1446" s="271">
        <v>0.71479999999999999</v>
      </c>
      <c r="I1446" s="271">
        <v>0.71489999999999998</v>
      </c>
      <c r="J1446" s="271">
        <v>0.71489999999999998</v>
      </c>
      <c r="K1446" s="271">
        <v>0.71530000000000005</v>
      </c>
      <c r="L1446" s="271">
        <v>0.7157</v>
      </c>
      <c r="M1446" s="271">
        <v>0.71479999999999999</v>
      </c>
      <c r="N1446" s="271">
        <v>0.7157</v>
      </c>
      <c r="O1446" s="271">
        <v>0.71630000000000005</v>
      </c>
      <c r="P1446" s="271">
        <v>0.71930000000000005</v>
      </c>
      <c r="Q1446" s="271">
        <v>0.71289999999999998</v>
      </c>
      <c r="R1446" s="271">
        <v>0.71479999999999999</v>
      </c>
      <c r="S1446" s="271">
        <v>0.71479999999999999</v>
      </c>
      <c r="T1446" s="271">
        <v>0.71540000000000004</v>
      </c>
      <c r="U1446" s="271">
        <v>0.71319999999999995</v>
      </c>
      <c r="V1446" s="271">
        <v>0.71040000000000003</v>
      </c>
      <c r="W1446" s="271">
        <v>0.71230000000000004</v>
      </c>
      <c r="X1446" s="271">
        <v>0.71150000000000002</v>
      </c>
      <c r="Y1446" s="271">
        <v>0.71130000000000004</v>
      </c>
      <c r="Z1446" s="273">
        <f ca="1">[1]ExtEntry!$R58</f>
        <v>0.71130000000000004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1.1269</v>
      </c>
      <c r="G1447" s="271">
        <v>1.1235999999999999</v>
      </c>
      <c r="H1447" s="271">
        <v>1.1235999999999999</v>
      </c>
      <c r="I1447" s="271">
        <v>1.1233</v>
      </c>
      <c r="J1447" s="271">
        <v>1.1233</v>
      </c>
      <c r="K1447" s="271">
        <v>1.1198999999999999</v>
      </c>
      <c r="L1447" s="271">
        <v>1.1195999999999999</v>
      </c>
      <c r="M1447" s="271">
        <v>1.1207</v>
      </c>
      <c r="N1447" s="271">
        <v>1.1254</v>
      </c>
      <c r="O1447" s="271">
        <v>1.1275999999999999</v>
      </c>
      <c r="P1447" s="271">
        <v>1.1285000000000001</v>
      </c>
      <c r="Q1447" s="271">
        <v>1.1000000000000001</v>
      </c>
      <c r="R1447" s="271">
        <v>1.0989</v>
      </c>
      <c r="S1447" s="271">
        <v>1.0989</v>
      </c>
      <c r="T1447" s="271">
        <v>1.1017999999999999</v>
      </c>
      <c r="U1447" s="271">
        <v>1.1044</v>
      </c>
      <c r="V1447" s="271">
        <v>1.1037999999999999</v>
      </c>
      <c r="W1447" s="271">
        <v>1.1016999999999999</v>
      </c>
      <c r="X1447" s="271">
        <v>1.1015999999999999</v>
      </c>
      <c r="Y1447" s="271">
        <v>1.1014999999999999</v>
      </c>
      <c r="Z1447" s="273">
        <f ca="1">[1]ExtEntry!$R59</f>
        <v>1.1014999999999999</v>
      </c>
      <c r="AB1447" s="341">
        <v>449160</v>
      </c>
      <c r="AC1447" s="341">
        <v>449160</v>
      </c>
      <c r="AD1447" s="341">
        <v>447900</v>
      </c>
      <c r="AE1447" s="341">
        <v>450060</v>
      </c>
      <c r="AF1447" s="341">
        <v>450060</v>
      </c>
      <c r="AG1447" s="341">
        <v>452580</v>
      </c>
      <c r="AH1447" s="341">
        <v>457380</v>
      </c>
      <c r="AI1447" s="341">
        <v>455700</v>
      </c>
      <c r="AJ1447" s="341">
        <v>456720</v>
      </c>
      <c r="AK1447" s="341">
        <v>455160</v>
      </c>
      <c r="AL1447" s="341">
        <v>460260</v>
      </c>
      <c r="AM1447" s="341">
        <v>453720</v>
      </c>
      <c r="AN1447" s="341">
        <v>447600</v>
      </c>
      <c r="AO1447" s="341">
        <v>447540</v>
      </c>
      <c r="AP1447" s="341">
        <v>446460</v>
      </c>
      <c r="AQ1447" s="341">
        <v>440640</v>
      </c>
      <c r="AR1447" s="341">
        <v>448320</v>
      </c>
      <c r="AS1447" s="341">
        <v>448740</v>
      </c>
      <c r="AT1447" s="341">
        <v>447660</v>
      </c>
      <c r="AU1447" s="341">
        <v>446460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446460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1.6021000000000001</v>
      </c>
      <c r="G1448" s="271">
        <v>1.6015999999999999</v>
      </c>
      <c r="H1448" s="271">
        <v>1.6020000000000001</v>
      </c>
      <c r="I1448" s="271">
        <v>1.6017999999999999</v>
      </c>
      <c r="J1448" s="271">
        <v>1.6017999999999999</v>
      </c>
      <c r="K1448" s="271">
        <v>1.6022000000000001</v>
      </c>
      <c r="L1448" s="271">
        <v>1.6020000000000001</v>
      </c>
      <c r="M1448" s="271">
        <v>1.6869000000000001</v>
      </c>
      <c r="N1448" s="271">
        <v>1.6092</v>
      </c>
      <c r="O1448" s="271">
        <v>1.6041000000000001</v>
      </c>
      <c r="P1448" s="271">
        <v>1.6024</v>
      </c>
      <c r="Q1448" s="271">
        <v>1.6024</v>
      </c>
      <c r="R1448" s="271">
        <v>1.6207</v>
      </c>
      <c r="S1448" s="271">
        <v>1.6207</v>
      </c>
      <c r="T1448" s="271">
        <v>1.6241000000000001</v>
      </c>
      <c r="U1448" s="271">
        <v>1.6245000000000001</v>
      </c>
      <c r="V1448" s="271">
        <v>1.6232</v>
      </c>
      <c r="W1448" s="271">
        <v>1.6225000000000001</v>
      </c>
      <c r="X1448" s="271">
        <v>1.6235999999999999</v>
      </c>
      <c r="Y1448" s="271">
        <v>1.6119000000000001</v>
      </c>
      <c r="Z1448" s="273">
        <f ca="1">[1]ExtEntry!$R60</f>
        <v>1.6119000000000001</v>
      </c>
      <c r="AB1448" s="341">
        <v>19100</v>
      </c>
      <c r="AC1448" s="341">
        <v>19147</v>
      </c>
      <c r="AD1448" s="341">
        <v>19150</v>
      </c>
      <c r="AE1448" s="341">
        <v>19200</v>
      </c>
      <c r="AF1448" s="341">
        <v>19200</v>
      </c>
      <c r="AG1448" s="341">
        <v>19300</v>
      </c>
      <c r="AH1448" s="341">
        <v>7826</v>
      </c>
      <c r="AI1448" s="341">
        <v>2631</v>
      </c>
      <c r="AJ1448" s="341">
        <v>2456</v>
      </c>
      <c r="AK1448" s="341">
        <v>2349</v>
      </c>
      <c r="AL1448" s="341">
        <v>2400</v>
      </c>
      <c r="AM1448" s="341">
        <v>2334</v>
      </c>
      <c r="AN1448" s="341">
        <v>2350</v>
      </c>
      <c r="AO1448" s="341">
        <v>2365</v>
      </c>
      <c r="AP1448" s="341">
        <v>2316</v>
      </c>
      <c r="AQ1448" s="341">
        <v>2369</v>
      </c>
      <c r="AR1448" s="341">
        <v>2400</v>
      </c>
      <c r="AS1448" s="341">
        <v>2050</v>
      </c>
      <c r="AT1448" s="341">
        <v>2050</v>
      </c>
      <c r="AU1448" s="341">
        <v>2029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2029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1.5942000000000001</v>
      </c>
      <c r="G1449" s="271">
        <v>1.595</v>
      </c>
      <c r="H1449" s="271">
        <v>1.5960000000000001</v>
      </c>
      <c r="I1449" s="271">
        <v>1.5945</v>
      </c>
      <c r="J1449" s="271">
        <v>1.5945</v>
      </c>
      <c r="K1449" s="271">
        <v>1.5958000000000001</v>
      </c>
      <c r="L1449" s="271">
        <v>1.5941000000000001</v>
      </c>
      <c r="M1449" s="271">
        <v>1.5885</v>
      </c>
      <c r="N1449" s="271">
        <v>1.5953999999999999</v>
      </c>
      <c r="O1449" s="271">
        <v>1.6047</v>
      </c>
      <c r="P1449" s="271">
        <v>1.6009</v>
      </c>
      <c r="Q1449" s="271">
        <v>1.5649999999999999</v>
      </c>
      <c r="R1449" s="271">
        <v>1.5665</v>
      </c>
      <c r="S1449" s="271">
        <v>1.5665</v>
      </c>
      <c r="T1449" s="271">
        <v>1.5648</v>
      </c>
      <c r="U1449" s="271">
        <v>1.5658000000000001</v>
      </c>
      <c r="V1449" s="271">
        <v>1.5644</v>
      </c>
      <c r="W1449" s="271">
        <v>1.5648</v>
      </c>
      <c r="X1449" s="271">
        <v>1.5643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0.28649999999999998</v>
      </c>
      <c r="G1450" s="271">
        <v>0.28949999999999998</v>
      </c>
      <c r="H1450" s="271">
        <v>0.29389999999999999</v>
      </c>
      <c r="I1450" s="271">
        <v>0.29770000000000002</v>
      </c>
      <c r="J1450" s="271">
        <v>0.29770000000000002</v>
      </c>
      <c r="K1450" s="271">
        <v>0.29470000000000002</v>
      </c>
      <c r="L1450" s="271">
        <v>0.29859999999999998</v>
      </c>
      <c r="M1450" s="271">
        <v>0.29820000000000002</v>
      </c>
      <c r="N1450" s="271">
        <v>0.29199999999999998</v>
      </c>
      <c r="O1450" s="271">
        <v>0.28760000000000002</v>
      </c>
      <c r="P1450" s="271">
        <v>0.2893</v>
      </c>
      <c r="Q1450" s="271">
        <v>0.2742</v>
      </c>
      <c r="R1450" s="271">
        <v>0.2752</v>
      </c>
      <c r="S1450" s="271">
        <v>0.2752</v>
      </c>
      <c r="T1450" s="271">
        <v>0.27529999999999999</v>
      </c>
      <c r="U1450" s="271">
        <v>0.27610000000000001</v>
      </c>
      <c r="V1450" s="271">
        <v>0.27729999999999999</v>
      </c>
      <c r="W1450" s="271">
        <v>0.27510000000000001</v>
      </c>
      <c r="X1450" s="271">
        <v>0.2747</v>
      </c>
      <c r="Y1450" s="271">
        <v>0.27439999999999998</v>
      </c>
      <c r="Z1450" s="273">
        <f ca="1">[1]ExtEntry!$R62</f>
        <v>0.27439999999999998</v>
      </c>
      <c r="AB1450" s="341">
        <v>183007</v>
      </c>
      <c r="AC1450" s="341">
        <v>226865</v>
      </c>
      <c r="AD1450" s="341">
        <v>227650</v>
      </c>
      <c r="AE1450" s="341">
        <v>225844.5</v>
      </c>
      <c r="AF1450" s="341">
        <v>225844.5</v>
      </c>
      <c r="AG1450" s="341">
        <v>227414.5</v>
      </c>
      <c r="AH1450" s="341">
        <v>223175.5</v>
      </c>
      <c r="AI1450" s="341">
        <v>217837.5</v>
      </c>
      <c r="AJ1450" s="341">
        <v>217602</v>
      </c>
      <c r="AK1450" s="341">
        <v>215796.5</v>
      </c>
      <c r="AL1450" s="341">
        <v>217994.5</v>
      </c>
      <c r="AM1450" s="341">
        <v>216267.5</v>
      </c>
      <c r="AN1450" s="341">
        <v>185224</v>
      </c>
      <c r="AO1450" s="341">
        <v>187416</v>
      </c>
      <c r="AP1450" s="341">
        <v>187416</v>
      </c>
      <c r="AQ1450" s="341">
        <v>185292.5</v>
      </c>
      <c r="AR1450" s="341">
        <v>187279</v>
      </c>
      <c r="AS1450" s="341">
        <v>187964</v>
      </c>
      <c r="AT1450" s="341">
        <v>190293</v>
      </c>
      <c r="AU1450" s="341">
        <v>190430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190430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0.49030000000000001</v>
      </c>
      <c r="G1451" s="271">
        <v>0.49130000000000001</v>
      </c>
      <c r="H1451" s="271">
        <v>0.48909999999999998</v>
      </c>
      <c r="I1451" s="271">
        <v>0.48930000000000001</v>
      </c>
      <c r="J1451" s="271">
        <v>0.48930000000000001</v>
      </c>
      <c r="K1451" s="271">
        <v>0.48959999999999998</v>
      </c>
      <c r="L1451" s="271">
        <v>0.48949999999999999</v>
      </c>
      <c r="M1451" s="271">
        <v>0.48930000000000001</v>
      </c>
      <c r="N1451" s="271">
        <v>0.49</v>
      </c>
      <c r="O1451" s="271">
        <v>0.49099999999999999</v>
      </c>
      <c r="P1451" s="271">
        <v>0.49359999999999998</v>
      </c>
      <c r="Q1451" s="271">
        <v>0.48920000000000002</v>
      </c>
      <c r="R1451" s="271">
        <v>0.48959999999999998</v>
      </c>
      <c r="S1451" s="271">
        <v>0.48849999999999999</v>
      </c>
      <c r="T1451" s="271">
        <v>0.48530000000000001</v>
      </c>
      <c r="U1451" s="271">
        <v>0.48559999999999998</v>
      </c>
      <c r="V1451" s="271">
        <v>0.47920000000000001</v>
      </c>
      <c r="W1451" s="271">
        <v>0.48359999999999997</v>
      </c>
      <c r="X1451" s="271">
        <v>0.48139999999999999</v>
      </c>
      <c r="Y1451" s="271">
        <v>0.48020000000000002</v>
      </c>
      <c r="Z1451" s="273">
        <f ca="1">[1]ExtEntry!$R63</f>
        <v>0.48020000000000002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1.1674</v>
      </c>
      <c r="G1452" s="271">
        <v>1.1654</v>
      </c>
      <c r="H1452" s="271">
        <v>1.1621999999999999</v>
      </c>
      <c r="I1452" s="271">
        <v>1.1626000000000001</v>
      </c>
      <c r="J1452" s="271">
        <v>1.1626000000000001</v>
      </c>
      <c r="K1452" s="271">
        <v>1.1636</v>
      </c>
      <c r="L1452" s="271">
        <v>1.1642999999999999</v>
      </c>
      <c r="M1452" s="271">
        <v>1.1625000000000001</v>
      </c>
      <c r="N1452" s="271">
        <v>1.1649</v>
      </c>
      <c r="O1452" s="271">
        <v>1.1666000000000001</v>
      </c>
      <c r="P1452" s="271">
        <v>1.17</v>
      </c>
      <c r="Q1452" s="271">
        <v>1.1682999999999999</v>
      </c>
      <c r="R1452" s="271">
        <v>1.1694</v>
      </c>
      <c r="S1452" s="271">
        <v>1.1639999999999999</v>
      </c>
      <c r="T1452" s="271">
        <v>1.1641999999999999</v>
      </c>
      <c r="U1452" s="271">
        <v>1.1692</v>
      </c>
      <c r="V1452" s="271">
        <v>1.1664000000000001</v>
      </c>
      <c r="W1452" s="271">
        <v>1.1682999999999999</v>
      </c>
      <c r="X1452" s="271">
        <v>1.1718999999999999</v>
      </c>
      <c r="Y1452" s="271">
        <v>1.1747000000000001</v>
      </c>
      <c r="Z1452" s="273">
        <f ca="1">[1]ExtEntry!$R64</f>
        <v>1.1747000000000001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0.99990000000000001</v>
      </c>
      <c r="G1453" s="271">
        <v>1.0044</v>
      </c>
      <c r="H1453" s="271">
        <v>1.0096000000000001</v>
      </c>
      <c r="I1453" s="271">
        <v>1.0092000000000001</v>
      </c>
      <c r="J1453" s="271">
        <v>1.0092000000000001</v>
      </c>
      <c r="K1453" s="271">
        <v>1.0081</v>
      </c>
      <c r="L1453" s="271">
        <v>1.0075000000000001</v>
      </c>
      <c r="M1453" s="271">
        <v>1.0093000000000001</v>
      </c>
      <c r="N1453" s="271">
        <v>1.0069999999999999</v>
      </c>
      <c r="O1453" s="271">
        <v>1.0045999999999999</v>
      </c>
      <c r="P1453" s="271">
        <v>1.0021</v>
      </c>
      <c r="Q1453" s="271">
        <v>1.0095000000000001</v>
      </c>
      <c r="R1453" s="271">
        <v>1.0101</v>
      </c>
      <c r="S1453" s="271">
        <v>1.0101</v>
      </c>
      <c r="T1453" s="271">
        <v>1.0039</v>
      </c>
      <c r="U1453" s="271">
        <v>1.0089999999999999</v>
      </c>
      <c r="V1453" s="271">
        <v>1.0072000000000001</v>
      </c>
      <c r="W1453" s="271">
        <v>1.0078</v>
      </c>
      <c r="X1453" s="271">
        <v>1.0031000000000001</v>
      </c>
      <c r="Y1453" s="271">
        <v>1.0064</v>
      </c>
      <c r="Z1453" s="273">
        <f ca="1">[1]ExtEntry!$R65</f>
        <v>1.0064</v>
      </c>
      <c r="AB1453" s="341">
        <v>19286.75</v>
      </c>
      <c r="AC1453" s="341">
        <v>19673</v>
      </c>
      <c r="AD1453" s="341">
        <v>19338.25</v>
      </c>
      <c r="AE1453" s="341">
        <v>19338.25</v>
      </c>
      <c r="AF1453" s="341">
        <v>19338.25</v>
      </c>
      <c r="AG1453" s="341">
        <v>19389.75</v>
      </c>
      <c r="AH1453" s="341">
        <v>19827.5</v>
      </c>
      <c r="AI1453" s="341">
        <v>19312.5</v>
      </c>
      <c r="AJ1453" s="341">
        <v>19106.5</v>
      </c>
      <c r="AK1453" s="341">
        <v>19415.5</v>
      </c>
      <c r="AL1453" s="341">
        <v>18823.25</v>
      </c>
      <c r="AM1453" s="341">
        <v>18179.5</v>
      </c>
      <c r="AN1453" s="341">
        <v>18437</v>
      </c>
      <c r="AO1453" s="341">
        <v>18437</v>
      </c>
      <c r="AP1453" s="341">
        <v>18849</v>
      </c>
      <c r="AQ1453" s="341">
        <v>18128</v>
      </c>
      <c r="AR1453" s="341">
        <v>18334</v>
      </c>
      <c r="AS1453" s="341">
        <v>18668.75</v>
      </c>
      <c r="AT1453" s="341">
        <v>18205.25</v>
      </c>
      <c r="AU1453" s="341">
        <v>18668.75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18668.75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1.1096999999999999</v>
      </c>
      <c r="G1454" s="271">
        <v>1.1096999999999999</v>
      </c>
      <c r="H1454" s="271">
        <v>1.1072</v>
      </c>
      <c r="I1454" s="271">
        <v>1.107</v>
      </c>
      <c r="J1454" s="271">
        <v>1.107</v>
      </c>
      <c r="K1454" s="271">
        <v>1.1026</v>
      </c>
      <c r="L1454" s="271">
        <v>1.1077999999999999</v>
      </c>
      <c r="M1454" s="271">
        <v>1.1052999999999999</v>
      </c>
      <c r="N1454" s="271">
        <v>1.1083000000000001</v>
      </c>
      <c r="O1454" s="271">
        <v>1.1101000000000001</v>
      </c>
      <c r="P1454" s="271">
        <v>1.1086</v>
      </c>
      <c r="Q1454" s="271">
        <v>1.1086</v>
      </c>
      <c r="R1454" s="271">
        <v>1.0844</v>
      </c>
      <c r="S1454" s="271">
        <v>1.0807</v>
      </c>
      <c r="T1454" s="271">
        <v>1.0827</v>
      </c>
      <c r="U1454" s="271">
        <v>1.0818000000000001</v>
      </c>
      <c r="V1454" s="271">
        <v>1.0829</v>
      </c>
      <c r="W1454" s="271">
        <v>1.0838000000000001</v>
      </c>
      <c r="X1454" s="271">
        <v>1.0841000000000001</v>
      </c>
      <c r="Y1454" s="271">
        <v>1.0819000000000001</v>
      </c>
      <c r="Z1454" s="273">
        <f ca="1">[1]ExtEntry!$R66</f>
        <v>1.0819000000000001</v>
      </c>
      <c r="AB1454" s="341">
        <v>69654</v>
      </c>
      <c r="AC1454" s="341">
        <v>69372</v>
      </c>
      <c r="AD1454" s="341">
        <v>69303</v>
      </c>
      <c r="AE1454" s="341">
        <v>69036</v>
      </c>
      <c r="AF1454" s="341">
        <v>69036</v>
      </c>
      <c r="AG1454" s="341">
        <v>67803</v>
      </c>
      <c r="AH1454" s="341">
        <v>68148</v>
      </c>
      <c r="AI1454" s="341">
        <v>68793</v>
      </c>
      <c r="AJ1454" s="341">
        <v>69147</v>
      </c>
      <c r="AK1454" s="341">
        <v>69419.97</v>
      </c>
      <c r="AL1454" s="341">
        <v>69642</v>
      </c>
      <c r="AM1454" s="341">
        <v>68273.94</v>
      </c>
      <c r="AN1454" s="341">
        <v>70858.62</v>
      </c>
      <c r="AO1454" s="341">
        <v>71541</v>
      </c>
      <c r="AP1454" s="341">
        <v>71934</v>
      </c>
      <c r="AQ1454" s="341">
        <v>71364</v>
      </c>
      <c r="AR1454" s="341">
        <v>70305</v>
      </c>
      <c r="AS1454" s="341">
        <v>68037</v>
      </c>
      <c r="AT1454" s="341"/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1.3075000000000001</v>
      </c>
      <c r="G1455" s="271">
        <v>1.3092999999999999</v>
      </c>
      <c r="H1455" s="271">
        <v>1.3103</v>
      </c>
      <c r="I1455" s="271">
        <v>1.3104</v>
      </c>
      <c r="J1455" s="271">
        <v>1.3104</v>
      </c>
      <c r="K1455" s="271">
        <v>1.3117000000000001</v>
      </c>
      <c r="L1455" s="271">
        <v>1.3087</v>
      </c>
      <c r="M1455" s="271">
        <v>1.3103</v>
      </c>
      <c r="N1455" s="271">
        <v>1.3088</v>
      </c>
      <c r="O1455" s="271">
        <v>1.3078000000000001</v>
      </c>
      <c r="P1455" s="271">
        <v>1.3091999999999999</v>
      </c>
      <c r="Q1455" s="271">
        <v>1.3091999999999999</v>
      </c>
      <c r="R1455" s="271">
        <v>1.2968</v>
      </c>
      <c r="S1455" s="271">
        <v>1.2971999999999999</v>
      </c>
      <c r="T1455" s="271">
        <v>1.2954000000000001</v>
      </c>
      <c r="U1455" s="271">
        <v>1.2955000000000001</v>
      </c>
      <c r="V1455" s="271">
        <v>1.2950999999999999</v>
      </c>
      <c r="W1455" s="271">
        <v>1.2955000000000001</v>
      </c>
      <c r="X1455" s="271">
        <v>1.2966</v>
      </c>
      <c r="Y1455" s="271">
        <v>1.2957000000000001</v>
      </c>
      <c r="Z1455" s="273">
        <f ca="1">[1]ExtEntry!$R67</f>
        <v>1.2957000000000001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1.8625</v>
      </c>
      <c r="G1456" s="271">
        <v>1.8665</v>
      </c>
      <c r="H1456" s="271">
        <v>1.8663000000000001</v>
      </c>
      <c r="I1456" s="271">
        <v>1.8635999999999999</v>
      </c>
      <c r="J1456" s="271">
        <v>1.8635999999999999</v>
      </c>
      <c r="K1456" s="271">
        <v>1.8638999999999999</v>
      </c>
      <c r="L1456" s="271">
        <v>1.871</v>
      </c>
      <c r="M1456" s="271">
        <v>1.8733</v>
      </c>
      <c r="N1456" s="271">
        <v>1.8727</v>
      </c>
      <c r="O1456" s="271">
        <v>1.8681000000000001</v>
      </c>
      <c r="P1456" s="271">
        <v>1.8695999999999999</v>
      </c>
      <c r="Q1456" s="271">
        <v>1.8656999999999999</v>
      </c>
      <c r="R1456" s="271">
        <v>1.8684000000000001</v>
      </c>
      <c r="S1456" s="271">
        <v>1.8684000000000001</v>
      </c>
      <c r="T1456" s="271">
        <v>1.8594999999999999</v>
      </c>
      <c r="U1456" s="271">
        <v>1.8642000000000001</v>
      </c>
      <c r="V1456" s="271">
        <v>1.8617999999999999</v>
      </c>
      <c r="W1456" s="271">
        <v>1.8655999999999999</v>
      </c>
      <c r="X1456" s="271">
        <v>1.8671</v>
      </c>
      <c r="Y1456" s="271">
        <v>1.8632</v>
      </c>
      <c r="Z1456" s="273">
        <f ca="1">[1]ExtEntry!$R68</f>
        <v>1.8632</v>
      </c>
      <c r="AB1456" s="341">
        <v>47574.6</v>
      </c>
      <c r="AC1456" s="341">
        <v>47130.6</v>
      </c>
      <c r="AD1456" s="341">
        <v>47034.400000000001</v>
      </c>
      <c r="AE1456" s="341">
        <v>47530.2</v>
      </c>
      <c r="AF1456" s="341">
        <v>47530.2</v>
      </c>
      <c r="AG1456" s="341">
        <v>47226.8</v>
      </c>
      <c r="AH1456" s="341">
        <v>47855.8</v>
      </c>
      <c r="AI1456" s="341">
        <v>48144.4</v>
      </c>
      <c r="AJ1456" s="341">
        <v>48854.8</v>
      </c>
      <c r="AK1456" s="341">
        <v>48433</v>
      </c>
      <c r="AL1456" s="341">
        <v>47049.2</v>
      </c>
      <c r="AM1456" s="341">
        <v>45658</v>
      </c>
      <c r="AN1456" s="341">
        <v>46627.4</v>
      </c>
      <c r="AO1456" s="341">
        <v>46871.6</v>
      </c>
      <c r="AP1456" s="341">
        <v>13250</v>
      </c>
      <c r="AQ1456" s="341">
        <v>13532</v>
      </c>
      <c r="AR1456" s="341">
        <v>13664</v>
      </c>
      <c r="AS1456" s="341">
        <v>13604</v>
      </c>
      <c r="AT1456" s="341">
        <v>13720</v>
      </c>
      <c r="AU1456" s="341">
        <v>13796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13796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2.0981999999999998</v>
      </c>
      <c r="G1457" s="271">
        <v>2.0884999999999998</v>
      </c>
      <c r="H1457" s="271">
        <v>2.0867</v>
      </c>
      <c r="I1457" s="271">
        <v>2.0830000000000002</v>
      </c>
      <c r="J1457" s="271">
        <v>2.0830000000000002</v>
      </c>
      <c r="K1457" s="271">
        <v>2.0712999999999999</v>
      </c>
      <c r="L1457" s="271">
        <v>2.0884999999999998</v>
      </c>
      <c r="M1457" s="271">
        <v>2.0821000000000001</v>
      </c>
      <c r="N1457" s="271">
        <v>2.0903</v>
      </c>
      <c r="O1457" s="271">
        <v>2.1173999999999999</v>
      </c>
      <c r="P1457" s="271">
        <v>2.0941999999999998</v>
      </c>
      <c r="Q1457" s="271">
        <v>2.0941999999999998</v>
      </c>
      <c r="R1457" s="271">
        <v>2.0888</v>
      </c>
      <c r="S1457" s="271">
        <v>2.0888</v>
      </c>
      <c r="T1457" s="271">
        <v>2.0880000000000001</v>
      </c>
      <c r="U1457" s="271">
        <v>2.0886</v>
      </c>
      <c r="V1457" s="271">
        <v>2.0861000000000001</v>
      </c>
      <c r="W1457" s="271">
        <v>2.0857000000000001</v>
      </c>
      <c r="X1457" s="271">
        <v>2.0830000000000002</v>
      </c>
      <c r="Y1457" s="271">
        <v>2.0779999999999998</v>
      </c>
      <c r="Z1457" s="273">
        <f ca="1">[1]ExtEntry!$R69</f>
        <v>2.0779999999999998</v>
      </c>
      <c r="AB1457" s="341">
        <v>247509</v>
      </c>
      <c r="AC1457" s="341">
        <v>251125.51500000001</v>
      </c>
      <c r="AD1457" s="341">
        <v>241501.49999999997</v>
      </c>
      <c r="AE1457" s="341">
        <v>238497.75</v>
      </c>
      <c r="AF1457" s="341">
        <v>238497.75</v>
      </c>
      <c r="AG1457" s="341">
        <v>236695.5</v>
      </c>
      <c r="AH1457" s="341">
        <v>261326.24999999997</v>
      </c>
      <c r="AI1457" s="341">
        <v>257721.75</v>
      </c>
      <c r="AJ1457" s="341">
        <v>308184.75</v>
      </c>
      <c r="AK1457" s="341">
        <v>291267.63</v>
      </c>
      <c r="AL1457" s="341">
        <v>276345</v>
      </c>
      <c r="AM1457" s="341">
        <v>264930.75</v>
      </c>
      <c r="AN1457" s="341">
        <v>254754.04499999998</v>
      </c>
      <c r="AO1457" s="341">
        <v>246307.49999999997</v>
      </c>
      <c r="AP1457" s="341">
        <v>246307.49999999997</v>
      </c>
      <c r="AQ1457" s="341">
        <v>260725.5</v>
      </c>
      <c r="AR1457" s="341">
        <v>252315</v>
      </c>
      <c r="AS1457" s="341">
        <v>254718</v>
      </c>
      <c r="AT1457" s="341">
        <v>270337.5</v>
      </c>
      <c r="AU1457" s="341">
        <v>267333.75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267333.75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1.5472999999999999</v>
      </c>
      <c r="G1458" s="271">
        <v>1.5469999999999999</v>
      </c>
      <c r="H1458" s="271">
        <v>1.5465</v>
      </c>
      <c r="I1458" s="271">
        <v>1.5483</v>
      </c>
      <c r="J1458" s="271">
        <v>1.5483</v>
      </c>
      <c r="K1458" s="271">
        <v>1.55</v>
      </c>
      <c r="L1458" s="271">
        <v>1.5486</v>
      </c>
      <c r="M1458" s="271">
        <v>1.5491999999999999</v>
      </c>
      <c r="N1458" s="271">
        <v>1.548</v>
      </c>
      <c r="O1458" s="271">
        <v>1.5474000000000001</v>
      </c>
      <c r="P1458" s="271">
        <v>1.5486</v>
      </c>
      <c r="Q1458" s="271">
        <v>1.5486</v>
      </c>
      <c r="R1458" s="271">
        <v>1.5516000000000001</v>
      </c>
      <c r="S1458" s="271">
        <v>1.5516000000000001</v>
      </c>
      <c r="T1458" s="271">
        <v>1.5549999999999999</v>
      </c>
      <c r="U1458" s="271">
        <v>1.5549999999999999</v>
      </c>
      <c r="V1458" s="271">
        <v>1.5548</v>
      </c>
      <c r="W1458" s="271">
        <v>1.5556000000000001</v>
      </c>
      <c r="X1458" s="271">
        <v>1.5556000000000001</v>
      </c>
      <c r="Y1458" s="271">
        <v>1.5537000000000001</v>
      </c>
      <c r="Z1458" s="273">
        <f ca="1">[1]ExtEntry!$R70</f>
        <v>1.5537000000000001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1.3139000000000001</v>
      </c>
      <c r="G1459" s="271">
        <v>1.3150999999999999</v>
      </c>
      <c r="H1459" s="271">
        <v>1.3149</v>
      </c>
      <c r="I1459" s="271">
        <v>1.3144</v>
      </c>
      <c r="J1459" s="271">
        <v>1.3144</v>
      </c>
      <c r="K1459" s="271">
        <v>1.3129999999999999</v>
      </c>
      <c r="L1459" s="271">
        <v>1.3176000000000001</v>
      </c>
      <c r="M1459" s="271">
        <v>1.3153999999999999</v>
      </c>
      <c r="N1459" s="271">
        <v>1.3181</v>
      </c>
      <c r="O1459" s="271">
        <v>1.3191999999999999</v>
      </c>
      <c r="P1459" s="271">
        <v>1.3173999999999999</v>
      </c>
      <c r="Q1459" s="271">
        <v>1.3173999999999999</v>
      </c>
      <c r="R1459" s="271">
        <v>1.3366</v>
      </c>
      <c r="S1459" s="271">
        <v>1.3366</v>
      </c>
      <c r="T1459" s="271">
        <v>1.3391999999999999</v>
      </c>
      <c r="U1459" s="271">
        <v>1.3385</v>
      </c>
      <c r="V1459" s="271">
        <v>1.3385</v>
      </c>
      <c r="W1459" s="271">
        <v>1.3385</v>
      </c>
      <c r="X1459" s="271">
        <v>1.3381000000000001</v>
      </c>
      <c r="Y1459" s="271">
        <v>1.3363</v>
      </c>
      <c r="Z1459" s="273">
        <f ca="1">[1]ExtEntry!$R71</f>
        <v>1.3363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2.9217</v>
      </c>
      <c r="G1460" s="271">
        <v>2.9218999999999999</v>
      </c>
      <c r="H1460" s="271">
        <v>2.9197000000000002</v>
      </c>
      <c r="I1460" s="271">
        <v>2.92</v>
      </c>
      <c r="J1460" s="271">
        <v>2.92</v>
      </c>
      <c r="K1460" s="271">
        <v>2.9209000000000001</v>
      </c>
      <c r="L1460" s="271">
        <v>2.9173</v>
      </c>
      <c r="M1460" s="271">
        <v>2.9173</v>
      </c>
      <c r="N1460" s="271">
        <v>2.9207000000000001</v>
      </c>
      <c r="O1460" s="271">
        <v>2.92</v>
      </c>
      <c r="P1460" s="271">
        <v>2.9222000000000001</v>
      </c>
      <c r="Q1460" s="271">
        <v>2.8016000000000001</v>
      </c>
      <c r="R1460" s="271">
        <v>2.8003999999999998</v>
      </c>
      <c r="S1460" s="271">
        <v>2.8001999999999998</v>
      </c>
      <c r="T1460" s="271">
        <v>2.8029000000000002</v>
      </c>
      <c r="U1460" s="271">
        <v>2.8026</v>
      </c>
      <c r="V1460" s="271">
        <v>2.8026</v>
      </c>
      <c r="W1460" s="271">
        <v>2.8026</v>
      </c>
      <c r="X1460" s="271">
        <v>2.8047</v>
      </c>
      <c r="Y1460" s="271">
        <v>2.8010999999999999</v>
      </c>
      <c r="Z1460" s="273">
        <f ca="1">[1]ExtEntry!$R72</f>
        <v>2.8010999999999999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1.9331</v>
      </c>
      <c r="G1461" s="271">
        <v>1.9322999999999999</v>
      </c>
      <c r="H1461" s="271">
        <v>1.9377</v>
      </c>
      <c r="I1461" s="271">
        <v>1.9379</v>
      </c>
      <c r="J1461" s="271">
        <v>1.9379</v>
      </c>
      <c r="K1461" s="271">
        <v>1.9413</v>
      </c>
      <c r="L1461" s="271">
        <v>1.9336</v>
      </c>
      <c r="M1461" s="271">
        <v>1.9355</v>
      </c>
      <c r="N1461" s="271">
        <v>1.9280999999999999</v>
      </c>
      <c r="O1461" s="271">
        <v>1.9251</v>
      </c>
      <c r="P1461" s="271">
        <v>1.9282999999999999</v>
      </c>
      <c r="Q1461" s="271">
        <v>1.9282999999999999</v>
      </c>
      <c r="R1461" s="271">
        <v>1.9981</v>
      </c>
      <c r="S1461" s="271">
        <v>1.9981</v>
      </c>
      <c r="T1461" s="271">
        <v>2.0028999999999999</v>
      </c>
      <c r="U1461" s="271">
        <v>1.9996</v>
      </c>
      <c r="V1461" s="271">
        <v>2.0015000000000001</v>
      </c>
      <c r="W1461" s="271">
        <v>2.0028999999999999</v>
      </c>
      <c r="X1461" s="271">
        <v>2.0034000000000001</v>
      </c>
      <c r="Y1461" s="271">
        <v>2.0053999999999998</v>
      </c>
      <c r="Z1461" s="273">
        <f ca="1">[1]ExtEntry!$R73</f>
        <v>2.0053999999999998</v>
      </c>
      <c r="AB1461" s="341">
        <v>119789.55</v>
      </c>
      <c r="AC1461" s="341">
        <v>125190</v>
      </c>
      <c r="AD1461" s="341">
        <v>126157.5</v>
      </c>
      <c r="AE1461" s="341">
        <v>125707.5</v>
      </c>
      <c r="AF1461" s="341">
        <v>125707.5</v>
      </c>
      <c r="AG1461" s="341">
        <v>121005</v>
      </c>
      <c r="AH1461" s="341">
        <v>114075</v>
      </c>
      <c r="AI1461" s="341">
        <v>111285</v>
      </c>
      <c r="AJ1461" s="341">
        <v>112950</v>
      </c>
      <c r="AK1461" s="341">
        <v>110002.5</v>
      </c>
      <c r="AL1461" s="341">
        <v>108405</v>
      </c>
      <c r="AM1461" s="341">
        <v>105660</v>
      </c>
      <c r="AN1461" s="341">
        <v>109260</v>
      </c>
      <c r="AO1461" s="341">
        <v>108225</v>
      </c>
      <c r="AP1461" s="341">
        <v>109260</v>
      </c>
      <c r="AQ1461" s="341">
        <v>111734.99999999999</v>
      </c>
      <c r="AR1461" s="341">
        <v>110115</v>
      </c>
      <c r="AS1461" s="341">
        <v>109395</v>
      </c>
      <c r="AT1461" s="341">
        <v>114210</v>
      </c>
      <c r="AU1461" s="341">
        <v>105795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105795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3.2092999999999998</v>
      </c>
      <c r="G1462" s="271">
        <v>3.2090999999999998</v>
      </c>
      <c r="H1462" s="271">
        <v>3.2090000000000001</v>
      </c>
      <c r="I1462" s="271">
        <v>3.2157</v>
      </c>
      <c r="J1462" s="271">
        <v>3.2157</v>
      </c>
      <c r="K1462" s="271">
        <v>3.2141999999999999</v>
      </c>
      <c r="L1462" s="271">
        <v>3.2113</v>
      </c>
      <c r="M1462" s="271">
        <v>3.2143999999999999</v>
      </c>
      <c r="N1462" s="271">
        <v>3.2143000000000002</v>
      </c>
      <c r="O1462" s="271">
        <v>3.2162999999999999</v>
      </c>
      <c r="P1462" s="271">
        <v>3.2252999999999998</v>
      </c>
      <c r="Q1462" s="271">
        <v>3.2252999999999998</v>
      </c>
      <c r="R1462" s="271">
        <v>3.4853000000000001</v>
      </c>
      <c r="S1462" s="271">
        <v>3.4853000000000001</v>
      </c>
      <c r="T1462" s="271">
        <v>3.4899</v>
      </c>
      <c r="U1462" s="271">
        <v>3.4922</v>
      </c>
      <c r="V1462" s="271">
        <v>3.4870000000000001</v>
      </c>
      <c r="W1462" s="271">
        <v>3.4851999999999999</v>
      </c>
      <c r="X1462" s="271">
        <v>3.4847000000000001</v>
      </c>
      <c r="Y1462" s="271">
        <v>3.4861</v>
      </c>
      <c r="Z1462" s="273">
        <f ca="1">[1]ExtEntry!$R74</f>
        <v>3.4861</v>
      </c>
      <c r="AB1462" s="341">
        <v>118963</v>
      </c>
      <c r="AC1462" s="341">
        <v>124579</v>
      </c>
      <c r="AD1462" s="341">
        <v>132613</v>
      </c>
      <c r="AE1462" s="341">
        <v>120926</v>
      </c>
      <c r="AF1462" s="341">
        <v>120926</v>
      </c>
      <c r="AG1462" s="341">
        <v>119366</v>
      </c>
      <c r="AH1462" s="341">
        <v>130000</v>
      </c>
      <c r="AI1462" s="341">
        <v>131300</v>
      </c>
      <c r="AJ1462" s="341">
        <v>135200</v>
      </c>
      <c r="AK1462" s="341">
        <v>137150</v>
      </c>
      <c r="AL1462" s="341">
        <v>153400</v>
      </c>
      <c r="AM1462" s="341">
        <v>144950</v>
      </c>
      <c r="AN1462" s="341">
        <v>147550</v>
      </c>
      <c r="AO1462" s="341">
        <v>141700</v>
      </c>
      <c r="AP1462" s="341">
        <v>132600</v>
      </c>
      <c r="AQ1462" s="341">
        <v>143000</v>
      </c>
      <c r="AR1462" s="341">
        <v>148200</v>
      </c>
      <c r="AS1462" s="341">
        <v>146900</v>
      </c>
      <c r="AT1462" s="341">
        <v>161850</v>
      </c>
      <c r="AU1462" s="341">
        <v>174200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174200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1.1269</v>
      </c>
      <c r="G1463" s="271">
        <v>1.1235999999999999</v>
      </c>
      <c r="H1463" s="271">
        <v>1.1235999999999999</v>
      </c>
      <c r="I1463" s="271">
        <v>1.1233</v>
      </c>
      <c r="J1463" s="271">
        <v>1.1233</v>
      </c>
      <c r="K1463" s="271">
        <v>1.1198999999999999</v>
      </c>
      <c r="L1463" s="271">
        <v>1.1195999999999999</v>
      </c>
      <c r="M1463" s="271">
        <v>1.1207</v>
      </c>
      <c r="N1463" s="271">
        <v>1.1254</v>
      </c>
      <c r="O1463" s="271">
        <v>1.1275999999999999</v>
      </c>
      <c r="P1463" s="271">
        <v>1.1285000000000001</v>
      </c>
      <c r="Q1463" s="271">
        <v>1.1000000000000001</v>
      </c>
      <c r="R1463" s="271">
        <v>1.0989</v>
      </c>
      <c r="S1463" s="271">
        <v>1.0989</v>
      </c>
      <c r="T1463" s="271">
        <v>1.1017999999999999</v>
      </c>
      <c r="U1463" s="271">
        <v>1.1044</v>
      </c>
      <c r="V1463" s="271">
        <v>1.1037999999999999</v>
      </c>
      <c r="W1463" s="271">
        <v>1.1016999999999999</v>
      </c>
      <c r="X1463" s="271">
        <v>1.1015999999999999</v>
      </c>
      <c r="Y1463" s="271">
        <v>1.1014999999999999</v>
      </c>
      <c r="Z1463" s="273">
        <f ca="1">[1]ExtEntry!$R75</f>
        <v>1.1014999999999999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2.8466999999999998</v>
      </c>
      <c r="G1464" s="271">
        <v>2.8462999999999998</v>
      </c>
      <c r="H1464" s="271">
        <v>2.8414999999999999</v>
      </c>
      <c r="I1464" s="271">
        <v>2.8443999999999998</v>
      </c>
      <c r="J1464" s="271">
        <v>2.8443999999999998</v>
      </c>
      <c r="K1464" s="271">
        <v>2.8466999999999998</v>
      </c>
      <c r="L1464" s="271">
        <v>2.8473999999999999</v>
      </c>
      <c r="M1464" s="271">
        <v>2.8473999999999999</v>
      </c>
      <c r="N1464" s="271">
        <v>2.8488000000000002</v>
      </c>
      <c r="O1464" s="271">
        <v>2.8472</v>
      </c>
      <c r="P1464" s="271">
        <v>2.8490000000000002</v>
      </c>
      <c r="Q1464" s="271">
        <v>2.7890999999999999</v>
      </c>
      <c r="R1464" s="271">
        <v>2.7867999999999999</v>
      </c>
      <c r="S1464" s="271">
        <v>2.7867999999999999</v>
      </c>
      <c r="T1464" s="271">
        <v>2.7934999999999999</v>
      </c>
      <c r="U1464" s="271">
        <v>2.7930000000000001</v>
      </c>
      <c r="V1464" s="271">
        <v>2.7924000000000002</v>
      </c>
      <c r="W1464" s="271">
        <v>2.7913000000000001</v>
      </c>
      <c r="X1464" s="271">
        <v>2.7936999999999999</v>
      </c>
      <c r="Y1464" s="271">
        <v>2.786</v>
      </c>
      <c r="Z1464" s="273">
        <f ca="1">[1]ExtEntry!$R76</f>
        <v>2.786</v>
      </c>
      <c r="AB1464" s="341">
        <v>54003.840000000004</v>
      </c>
      <c r="AC1464" s="341">
        <v>54510.192000000003</v>
      </c>
      <c r="AD1464" s="341">
        <v>53919.360000000001</v>
      </c>
      <c r="AE1464" s="341">
        <v>54764.160000000003</v>
      </c>
      <c r="AF1464" s="341">
        <v>54764.160000000003</v>
      </c>
      <c r="AG1464" s="341">
        <v>53687.040000000001</v>
      </c>
      <c r="AH1464" s="341">
        <v>53919.360000000001</v>
      </c>
      <c r="AI1464" s="341">
        <v>53433.599999999999</v>
      </c>
      <c r="AJ1464" s="341">
        <v>51765.120000000003</v>
      </c>
      <c r="AK1464" s="341">
        <v>52187.520000000004</v>
      </c>
      <c r="AL1464" s="341">
        <v>51860.160000000003</v>
      </c>
      <c r="AM1464" s="341">
        <v>98308.667999999991</v>
      </c>
      <c r="AN1464" s="341">
        <v>100661.76000000001</v>
      </c>
      <c r="AO1464" s="341">
        <v>96850.635040000008</v>
      </c>
      <c r="AP1464" s="341">
        <v>96364.72</v>
      </c>
      <c r="AQ1464" s="341">
        <v>2625.28</v>
      </c>
      <c r="AR1464" s="341">
        <v>2639.84</v>
      </c>
      <c r="AS1464" s="341">
        <v>2582.16</v>
      </c>
      <c r="AT1464" s="341">
        <v>2607.36</v>
      </c>
      <c r="AU1464" s="341">
        <v>2628.08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2628.08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1.5232000000000001</v>
      </c>
      <c r="G1465" s="271">
        <v>1.5230999999999999</v>
      </c>
      <c r="H1465" s="271">
        <v>1.5230999999999999</v>
      </c>
      <c r="I1465" s="271">
        <v>1.5234000000000001</v>
      </c>
      <c r="J1465" s="271">
        <v>1.5234000000000001</v>
      </c>
      <c r="K1465" s="271">
        <v>1.5229999999999999</v>
      </c>
      <c r="L1465" s="271">
        <v>1.5250999999999999</v>
      </c>
      <c r="M1465" s="271">
        <v>1.5245</v>
      </c>
      <c r="N1465" s="271">
        <v>1.5257000000000001</v>
      </c>
      <c r="O1465" s="271">
        <v>1.5266999999999999</v>
      </c>
      <c r="P1465" s="271">
        <v>1.5250999999999999</v>
      </c>
      <c r="Q1465" s="271">
        <v>1.5250999999999999</v>
      </c>
      <c r="R1465" s="271">
        <v>1.5392999999999999</v>
      </c>
      <c r="S1465" s="271">
        <v>1.5392999999999999</v>
      </c>
      <c r="T1465" s="271">
        <v>1.5410999999999999</v>
      </c>
      <c r="U1465" s="271">
        <v>1.5407999999999999</v>
      </c>
      <c r="V1465" s="271">
        <v>1.5410999999999999</v>
      </c>
      <c r="W1465" s="271">
        <v>1.5415000000000001</v>
      </c>
      <c r="X1465" s="271">
        <v>1.5407999999999999</v>
      </c>
      <c r="Y1465" s="271">
        <v>1.5385</v>
      </c>
      <c r="Z1465" s="273">
        <f ca="1">[1]ExtEntry!$R77</f>
        <v>1.5385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1.5942000000000001</v>
      </c>
      <c r="G1466" s="271">
        <v>1.595</v>
      </c>
      <c r="H1466" s="271">
        <v>1.5960000000000001</v>
      </c>
      <c r="I1466" s="271">
        <v>1.5945</v>
      </c>
      <c r="J1466" s="271">
        <v>1.5945</v>
      </c>
      <c r="K1466" s="271">
        <v>1.5958000000000001</v>
      </c>
      <c r="L1466" s="271">
        <v>1.5941000000000001</v>
      </c>
      <c r="M1466" s="271">
        <v>1.5885</v>
      </c>
      <c r="N1466" s="271">
        <v>1.5953999999999999</v>
      </c>
      <c r="O1466" s="271">
        <v>1.6047</v>
      </c>
      <c r="P1466" s="271">
        <v>1.6009</v>
      </c>
      <c r="Q1466" s="271">
        <v>1.5649999999999999</v>
      </c>
      <c r="R1466" s="271">
        <v>1.5665</v>
      </c>
      <c r="S1466" s="271">
        <v>1.5665</v>
      </c>
      <c r="T1466" s="271">
        <v>1.5648</v>
      </c>
      <c r="U1466" s="271">
        <v>1.5658000000000001</v>
      </c>
      <c r="V1466" s="271">
        <v>1.5644</v>
      </c>
      <c r="W1466" s="271">
        <v>1.5648</v>
      </c>
      <c r="X1466" s="271">
        <v>1.5643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1.6385000000000001</v>
      </c>
      <c r="G1467" s="271">
        <v>1.6371</v>
      </c>
      <c r="H1467" s="271">
        <v>1.637</v>
      </c>
      <c r="I1467" s="271">
        <v>1.6373</v>
      </c>
      <c r="J1467" s="271">
        <v>1.6373</v>
      </c>
      <c r="K1467" s="271">
        <v>1.6375</v>
      </c>
      <c r="L1467" s="271">
        <v>1.6355999999999999</v>
      </c>
      <c r="M1467" s="271">
        <v>1.6365000000000001</v>
      </c>
      <c r="N1467" s="271">
        <v>1.6336999999999999</v>
      </c>
      <c r="O1467" s="271">
        <v>1.6313</v>
      </c>
      <c r="P1467" s="271">
        <v>1.6329</v>
      </c>
      <c r="Q1467" s="271">
        <v>1.6329</v>
      </c>
      <c r="R1467" s="271">
        <v>1.6722999999999999</v>
      </c>
      <c r="S1467" s="271">
        <v>1.6722999999999999</v>
      </c>
      <c r="T1467" s="271">
        <v>1.6724000000000001</v>
      </c>
      <c r="U1467" s="271">
        <v>1.6718999999999999</v>
      </c>
      <c r="V1467" s="271">
        <v>1.671</v>
      </c>
      <c r="W1467" s="271">
        <v>1.6714</v>
      </c>
      <c r="X1467" s="271">
        <v>1.6707000000000001</v>
      </c>
      <c r="Y1467" s="271">
        <v>1.67</v>
      </c>
      <c r="Z1467" s="273">
        <f ca="1">[1]ExtEntry!$R79</f>
        <v>1.67</v>
      </c>
      <c r="AB1467" s="341">
        <v>9874</v>
      </c>
      <c r="AC1467" s="341">
        <v>9908</v>
      </c>
      <c r="AD1467" s="341">
        <v>9914.1949999999997</v>
      </c>
      <c r="AE1467" s="341">
        <v>9944.5</v>
      </c>
      <c r="AF1467" s="341">
        <v>9944.5</v>
      </c>
      <c r="AG1467" s="341">
        <v>9481</v>
      </c>
      <c r="AH1467" s="341">
        <v>9664</v>
      </c>
      <c r="AI1467" s="341">
        <v>9469.5</v>
      </c>
      <c r="AJ1467" s="341"/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1.4020999999999999</v>
      </c>
      <c r="G1468" s="271">
        <v>1.4023000000000001</v>
      </c>
      <c r="H1468" s="271">
        <v>1.4006000000000001</v>
      </c>
      <c r="I1468" s="271">
        <v>1.4015</v>
      </c>
      <c r="J1468" s="271">
        <v>1.4015</v>
      </c>
      <c r="K1468" s="271">
        <v>1.4026000000000001</v>
      </c>
      <c r="L1468" s="271">
        <v>1.4017999999999999</v>
      </c>
      <c r="M1468" s="271">
        <v>1.4023000000000001</v>
      </c>
      <c r="N1468" s="271">
        <v>1.4025000000000001</v>
      </c>
      <c r="O1468" s="271">
        <v>1.4021999999999999</v>
      </c>
      <c r="P1468" s="271">
        <v>1.4023000000000001</v>
      </c>
      <c r="Q1468" s="271">
        <v>1.4023000000000001</v>
      </c>
      <c r="R1468" s="271">
        <v>1.4161999999999999</v>
      </c>
      <c r="S1468" s="271">
        <v>1.4161999999999999</v>
      </c>
      <c r="T1468" s="271">
        <v>1.4139999999999999</v>
      </c>
      <c r="U1468" s="271">
        <v>1.4151</v>
      </c>
      <c r="V1468" s="271">
        <v>1.4146000000000001</v>
      </c>
      <c r="W1468" s="271">
        <v>1.4133</v>
      </c>
      <c r="X1468" s="271">
        <v>1.4134</v>
      </c>
      <c r="Y1468" s="271">
        <v>1.4144000000000001</v>
      </c>
      <c r="Z1468" s="273">
        <f ca="1">[1]ExtEntry!$R80</f>
        <v>1.4144000000000001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1.9649000000000001</v>
      </c>
      <c r="G1469" s="271">
        <v>1.9625999999999999</v>
      </c>
      <c r="H1469" s="271">
        <v>1.9637</v>
      </c>
      <c r="I1469" s="271">
        <v>1.9615</v>
      </c>
      <c r="J1469" s="271">
        <v>1.9615</v>
      </c>
      <c r="K1469" s="271">
        <v>1.9730000000000001</v>
      </c>
      <c r="L1469" s="271">
        <v>1.9520999999999999</v>
      </c>
      <c r="M1469" s="271">
        <v>1.9621</v>
      </c>
      <c r="N1469" s="271">
        <v>1.9487000000000001</v>
      </c>
      <c r="O1469" s="271">
        <v>1.9415</v>
      </c>
      <c r="P1469" s="271">
        <v>1.9483999999999999</v>
      </c>
      <c r="Q1469" s="271">
        <v>1.9483999999999999</v>
      </c>
      <c r="R1469" s="271">
        <v>2.0181</v>
      </c>
      <c r="S1469" s="271">
        <v>2.0181</v>
      </c>
      <c r="T1469" s="271">
        <v>2.0198</v>
      </c>
      <c r="U1469" s="271">
        <v>2.0221</v>
      </c>
      <c r="V1469" s="271">
        <v>2.0213999999999999</v>
      </c>
      <c r="W1469" s="271">
        <v>2.0230999999999999</v>
      </c>
      <c r="X1469" s="271">
        <v>2.0247999999999999</v>
      </c>
      <c r="Y1469" s="271">
        <v>2.0295999999999998</v>
      </c>
      <c r="Z1469" s="273">
        <f ca="1">[1]ExtEntry!$R81</f>
        <v>2.0295999999999998</v>
      </c>
      <c r="AB1469" s="341">
        <v>25056.724999999999</v>
      </c>
      <c r="AC1469" s="341">
        <v>23735.275000000001</v>
      </c>
      <c r="AD1469" s="341">
        <v>21994.0105</v>
      </c>
      <c r="AE1469" s="341">
        <v>19999.637500000001</v>
      </c>
      <c r="AF1469" s="341">
        <v>19999.637500000001</v>
      </c>
      <c r="AG1469" s="341">
        <v>20025.05</v>
      </c>
      <c r="AH1469" s="341">
        <v>19720.099999999999</v>
      </c>
      <c r="AI1469" s="341">
        <v>18703.600000000002</v>
      </c>
      <c r="AJ1469" s="341">
        <v>18703.600000000002</v>
      </c>
      <c r="AK1469" s="341">
        <v>18152.656999999999</v>
      </c>
      <c r="AL1469" s="341">
        <v>17280.5</v>
      </c>
      <c r="AM1469" s="341">
        <v>16314.825000000001</v>
      </c>
      <c r="AN1469" s="341">
        <v>16772.25</v>
      </c>
      <c r="AO1469" s="341">
        <v>16772.25</v>
      </c>
      <c r="AP1469" s="341">
        <v>17178.849999999999</v>
      </c>
      <c r="AQ1469" s="341">
        <v>17382.150000000001</v>
      </c>
      <c r="AR1469" s="341">
        <v>17382.150000000001</v>
      </c>
      <c r="AS1469" s="341">
        <v>17077.2</v>
      </c>
      <c r="AT1469" s="341">
        <v>17992.05</v>
      </c>
      <c r="AU1469" s="341">
        <v>19110.2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19110.2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1.1846000000000001</v>
      </c>
      <c r="G1470" s="271">
        <v>1.1839</v>
      </c>
      <c r="H1470" s="271">
        <v>1.1858</v>
      </c>
      <c r="I1470" s="271">
        <v>1.1856</v>
      </c>
      <c r="J1470" s="271">
        <v>1.1856</v>
      </c>
      <c r="K1470" s="271">
        <v>1.1854</v>
      </c>
      <c r="L1470" s="271">
        <v>1.1887000000000001</v>
      </c>
      <c r="M1470" s="271">
        <v>1.1870000000000001</v>
      </c>
      <c r="N1470" s="271">
        <v>1.1900999999999999</v>
      </c>
      <c r="O1470" s="271">
        <v>1.1904999999999999</v>
      </c>
      <c r="P1470" s="271">
        <v>1.1887000000000001</v>
      </c>
      <c r="Q1470" s="271">
        <v>1.1887000000000001</v>
      </c>
      <c r="R1470" s="271">
        <v>1.2117</v>
      </c>
      <c r="S1470" s="271">
        <v>1.2117</v>
      </c>
      <c r="T1470" s="271">
        <v>1.214</v>
      </c>
      <c r="U1470" s="271">
        <v>1.2143999999999999</v>
      </c>
      <c r="V1470" s="271">
        <v>1.2134</v>
      </c>
      <c r="W1470" s="271">
        <v>1.2135</v>
      </c>
      <c r="X1470" s="271">
        <v>1.2121999999999999</v>
      </c>
      <c r="Y1470" s="271">
        <v>1.2088000000000001</v>
      </c>
      <c r="Z1470" s="273">
        <f ca="1">[1]ExtEntry!$R82</f>
        <v>1.2088000000000001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0.98719999999999997</v>
      </c>
      <c r="G1471" s="271">
        <v>0.98799999999999999</v>
      </c>
      <c r="H1471" s="271">
        <v>0.98770000000000002</v>
      </c>
      <c r="I1471" s="271">
        <v>0.9879</v>
      </c>
      <c r="J1471" s="271">
        <v>0.9879</v>
      </c>
      <c r="K1471" s="271">
        <v>0.98719999999999997</v>
      </c>
      <c r="L1471" s="271">
        <v>0.98980000000000001</v>
      </c>
      <c r="M1471" s="271">
        <v>0.98829999999999996</v>
      </c>
      <c r="N1471" s="271">
        <v>0.9889</v>
      </c>
      <c r="O1471" s="271">
        <v>0.98899999999999999</v>
      </c>
      <c r="P1471" s="271">
        <v>0.98919999999999997</v>
      </c>
      <c r="Q1471" s="271">
        <v>0.98919999999999997</v>
      </c>
      <c r="R1471" s="271">
        <v>0.98199999999999998</v>
      </c>
      <c r="S1471" s="271">
        <v>0.98199999999999998</v>
      </c>
      <c r="T1471" s="271">
        <v>0.98240000000000005</v>
      </c>
      <c r="U1471" s="271">
        <v>0.98370000000000002</v>
      </c>
      <c r="V1471" s="271">
        <v>0.98319999999999996</v>
      </c>
      <c r="W1471" s="271">
        <v>0.98299999999999998</v>
      </c>
      <c r="X1471" s="271">
        <v>0.98250000000000004</v>
      </c>
      <c r="Y1471" s="271">
        <v>0.98029999999999995</v>
      </c>
      <c r="Z1471" s="273">
        <f ca="1">[1]ExtEntry!$R83</f>
        <v>0.98029999999999995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2.6983000000000001</v>
      </c>
      <c r="G1472" s="271">
        <v>2.7052999999999998</v>
      </c>
      <c r="H1472" s="271">
        <v>2.6978</v>
      </c>
      <c r="I1472" s="271">
        <v>2.6983999999999999</v>
      </c>
      <c r="J1472" s="271">
        <v>2.6983999999999999</v>
      </c>
      <c r="K1472" s="271">
        <v>2.6779000000000002</v>
      </c>
      <c r="L1472" s="271">
        <v>2.6878000000000002</v>
      </c>
      <c r="M1472" s="271">
        <v>2.6814</v>
      </c>
      <c r="N1472" s="271">
        <v>2.6840999999999999</v>
      </c>
      <c r="O1472" s="271">
        <v>2.6863999999999999</v>
      </c>
      <c r="P1472" s="271">
        <v>2.6833</v>
      </c>
      <c r="Q1472" s="271">
        <v>2.6833</v>
      </c>
      <c r="R1472" s="271">
        <v>2.7208999999999999</v>
      </c>
      <c r="S1472" s="271">
        <v>2.7208999999999999</v>
      </c>
      <c r="T1472" s="271">
        <v>2.7269000000000001</v>
      </c>
      <c r="U1472" s="271">
        <v>2.7240000000000002</v>
      </c>
      <c r="V1472" s="271">
        <v>2.7267999999999999</v>
      </c>
      <c r="W1472" s="271">
        <v>2.7269999999999999</v>
      </c>
      <c r="X1472" s="271">
        <v>2.7286999999999999</v>
      </c>
      <c r="Y1472" s="271">
        <v>2.734</v>
      </c>
      <c r="Z1472" s="273">
        <f ca="1">[1]ExtEntry!$R84</f>
        <v>2.734</v>
      </c>
      <c r="AB1472" s="341">
        <v>75032</v>
      </c>
      <c r="AC1472" s="341">
        <v>78144.5</v>
      </c>
      <c r="AD1472" s="341">
        <v>84701.5</v>
      </c>
      <c r="AE1472" s="341">
        <v>78683.17</v>
      </c>
      <c r="AF1472" s="341">
        <v>78683.17</v>
      </c>
      <c r="AG1472" s="341">
        <v>72542</v>
      </c>
      <c r="AH1472" s="341">
        <v>62416</v>
      </c>
      <c r="AI1472" s="341">
        <v>62250</v>
      </c>
      <c r="AJ1472" s="341">
        <v>62914</v>
      </c>
      <c r="AK1472" s="341">
        <v>62084</v>
      </c>
      <c r="AL1472" s="341">
        <v>62001</v>
      </c>
      <c r="AM1472" s="341">
        <v>62250</v>
      </c>
      <c r="AN1472" s="341">
        <v>62748</v>
      </c>
      <c r="AO1472" s="341">
        <v>61420</v>
      </c>
      <c r="AP1472" s="341">
        <v>64657</v>
      </c>
      <c r="AQ1472" s="341">
        <v>64159</v>
      </c>
      <c r="AR1472" s="341">
        <v>66068</v>
      </c>
      <c r="AS1472" s="341">
        <v>66068</v>
      </c>
      <c r="AT1472" s="341">
        <v>68682.5</v>
      </c>
      <c r="AU1472" s="341">
        <v>66234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66234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0.61819999999999997</v>
      </c>
      <c r="G1473" s="271">
        <v>0.61890000000000001</v>
      </c>
      <c r="H1473" s="271">
        <v>0.62019999999999997</v>
      </c>
      <c r="I1473" s="271">
        <v>0.61829999999999996</v>
      </c>
      <c r="J1473" s="271">
        <v>0.61829999999999996</v>
      </c>
      <c r="K1473" s="271">
        <v>0.61460000000000004</v>
      </c>
      <c r="L1473" s="271">
        <v>0.62180000000000002</v>
      </c>
      <c r="M1473" s="271">
        <v>0.61770000000000003</v>
      </c>
      <c r="N1473" s="271">
        <v>0.62150000000000005</v>
      </c>
      <c r="O1473" s="271">
        <v>0.62350000000000005</v>
      </c>
      <c r="P1473" s="271">
        <v>0.62070000000000003</v>
      </c>
      <c r="Q1473" s="271">
        <v>0.62070000000000003</v>
      </c>
      <c r="R1473" s="271">
        <v>0.63400000000000001</v>
      </c>
      <c r="S1473" s="271">
        <v>0.63400000000000001</v>
      </c>
      <c r="T1473" s="271">
        <v>0.6341</v>
      </c>
      <c r="U1473" s="271">
        <v>0.63300000000000001</v>
      </c>
      <c r="V1473" s="271">
        <v>0.63390000000000002</v>
      </c>
      <c r="W1473" s="271">
        <v>0.63439999999999996</v>
      </c>
      <c r="X1473" s="271">
        <v>0.63460000000000005</v>
      </c>
      <c r="Y1473" s="271">
        <v>0.63429999999999997</v>
      </c>
      <c r="Z1473" s="273">
        <f ca="1">[1]ExtEntry!$R85</f>
        <v>0.63429999999999997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0.28649999999999998</v>
      </c>
      <c r="G1474" s="271">
        <v>0.28949999999999998</v>
      </c>
      <c r="H1474" s="271">
        <v>0.29389999999999999</v>
      </c>
      <c r="I1474" s="271">
        <v>0.29770000000000002</v>
      </c>
      <c r="J1474" s="271">
        <v>0.29770000000000002</v>
      </c>
      <c r="K1474" s="271">
        <v>0.29470000000000002</v>
      </c>
      <c r="L1474" s="271">
        <v>0.29859999999999998</v>
      </c>
      <c r="M1474" s="271">
        <v>0.29820000000000002</v>
      </c>
      <c r="N1474" s="271">
        <v>0.29199999999999998</v>
      </c>
      <c r="O1474" s="271">
        <v>0.28760000000000002</v>
      </c>
      <c r="P1474" s="271">
        <v>0.2893</v>
      </c>
      <c r="Q1474" s="271">
        <v>0.2742</v>
      </c>
      <c r="R1474" s="271">
        <v>0.2752</v>
      </c>
      <c r="S1474" s="271">
        <v>0.2752</v>
      </c>
      <c r="T1474" s="271">
        <v>0.27529999999999999</v>
      </c>
      <c r="U1474" s="271">
        <v>0.27610000000000001</v>
      </c>
      <c r="V1474" s="271">
        <v>0.27729999999999999</v>
      </c>
      <c r="W1474" s="271">
        <v>0.27510000000000001</v>
      </c>
      <c r="X1474" s="271">
        <v>0.2747</v>
      </c>
      <c r="Y1474" s="271">
        <v>0.27439999999999998</v>
      </c>
      <c r="Z1474" s="273">
        <f ca="1">[1]ExtEntry!$R86</f>
        <v>0.27439999999999998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1.0397000000000001</v>
      </c>
      <c r="G1475" s="271">
        <v>1.0397000000000001</v>
      </c>
      <c r="H1475" s="271">
        <v>1.0394000000000001</v>
      </c>
      <c r="I1475" s="271">
        <v>1.0397000000000001</v>
      </c>
      <c r="J1475" s="271">
        <v>1.0397000000000001</v>
      </c>
      <c r="K1475" s="271">
        <v>1.0411999999999999</v>
      </c>
      <c r="L1475" s="271">
        <v>1.0414000000000001</v>
      </c>
      <c r="M1475" s="271">
        <v>1.042</v>
      </c>
      <c r="N1475" s="271">
        <v>1.0418000000000001</v>
      </c>
      <c r="O1475" s="271">
        <v>1.0434000000000001</v>
      </c>
      <c r="P1475" s="271">
        <v>1.044</v>
      </c>
      <c r="Q1475" s="271">
        <v>1.044</v>
      </c>
      <c r="R1475" s="271">
        <v>0.96419999999999995</v>
      </c>
      <c r="S1475" s="271">
        <v>0.96419999999999995</v>
      </c>
      <c r="T1475" s="271">
        <v>0.96530000000000005</v>
      </c>
      <c r="U1475" s="271">
        <v>0.96750000000000003</v>
      </c>
      <c r="V1475" s="271">
        <v>0.96709999999999996</v>
      </c>
      <c r="W1475" s="271">
        <v>0.9657</v>
      </c>
      <c r="X1475" s="271">
        <v>0.96350000000000002</v>
      </c>
      <c r="Y1475" s="271">
        <v>0.95840000000000003</v>
      </c>
      <c r="Z1475" s="273">
        <f ca="1">[1]ExtEntry!$R87</f>
        <v>0.95840000000000003</v>
      </c>
      <c r="AB1475" s="341">
        <v>128296</v>
      </c>
      <c r="AC1475" s="341">
        <v>130036.00000000001</v>
      </c>
      <c r="AD1475" s="341">
        <v>127831.71</v>
      </c>
      <c r="AE1475" s="341">
        <v>127585.49999999999</v>
      </c>
      <c r="AF1475" s="341">
        <v>127585.49999999999</v>
      </c>
      <c r="AG1475" s="341">
        <v>128426.49999999999</v>
      </c>
      <c r="AH1475" s="341">
        <v>134618</v>
      </c>
      <c r="AI1475" s="341">
        <v>133530.5</v>
      </c>
      <c r="AJ1475" s="341">
        <v>136024.5</v>
      </c>
      <c r="AK1475" s="341">
        <v>136039</v>
      </c>
      <c r="AL1475" s="341">
        <v>138069</v>
      </c>
      <c r="AM1475" s="341">
        <v>138678</v>
      </c>
      <c r="AN1475" s="341">
        <v>135583.70000000001</v>
      </c>
      <c r="AO1475" s="341">
        <v>134270</v>
      </c>
      <c r="AP1475" s="341">
        <v>135169</v>
      </c>
      <c r="AQ1475" s="341">
        <v>131660</v>
      </c>
      <c r="AR1475" s="341">
        <v>130877.00000000001</v>
      </c>
      <c r="AS1475" s="341">
        <v>134255.5</v>
      </c>
      <c r="AT1475" s="341">
        <v>133545</v>
      </c>
      <c r="AU1475" s="341">
        <v>132414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132414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0.50870000000000004</v>
      </c>
      <c r="G1476" s="271">
        <v>0.50880000000000003</v>
      </c>
      <c r="H1476" s="271">
        <v>0.50880000000000003</v>
      </c>
      <c r="I1476" s="271">
        <v>0.50690000000000002</v>
      </c>
      <c r="J1476" s="271">
        <v>0.50690000000000002</v>
      </c>
      <c r="K1476" s="271">
        <v>0.50319999999999998</v>
      </c>
      <c r="L1476" s="271">
        <v>0.51090000000000002</v>
      </c>
      <c r="M1476" s="271">
        <v>0.50600000000000001</v>
      </c>
      <c r="N1476" s="271">
        <v>0.50790000000000002</v>
      </c>
      <c r="O1476" s="271">
        <v>0.50980000000000003</v>
      </c>
      <c r="P1476" s="271">
        <v>0.5071</v>
      </c>
      <c r="Q1476" s="271">
        <v>0.5071</v>
      </c>
      <c r="R1476" s="271">
        <v>0.50390000000000001</v>
      </c>
      <c r="S1476" s="271">
        <v>0.50390000000000001</v>
      </c>
      <c r="T1476" s="271">
        <v>0.50739999999999996</v>
      </c>
      <c r="U1476" s="271">
        <v>0.50639999999999996</v>
      </c>
      <c r="V1476" s="271">
        <v>0.50739999999999996</v>
      </c>
      <c r="W1476" s="271">
        <v>0.50719999999999998</v>
      </c>
      <c r="X1476" s="271">
        <v>0.50729999999999997</v>
      </c>
      <c r="Y1476" s="271">
        <v>0.50749999999999995</v>
      </c>
      <c r="Z1476" s="273">
        <f ca="1">[1]ExtEntry!$R88</f>
        <v>0.50749999999999995</v>
      </c>
      <c r="AB1476" s="341">
        <v>7515</v>
      </c>
      <c r="AC1476" s="341">
        <v>7510.47</v>
      </c>
      <c r="AD1476" s="341">
        <v>7540.5000000000009</v>
      </c>
      <c r="AE1476" s="341">
        <v>7594.9500000000007</v>
      </c>
      <c r="AF1476" s="341">
        <v>7594.9500000000007</v>
      </c>
      <c r="AG1476" s="341">
        <v>7612.5</v>
      </c>
      <c r="AH1476" s="341">
        <v>7539</v>
      </c>
      <c r="AI1476" s="341">
        <v>7476.0000000000009</v>
      </c>
      <c r="AJ1476" s="341">
        <v>7519.5</v>
      </c>
      <c r="AK1476" s="341">
        <v>7378.5</v>
      </c>
      <c r="AL1476" s="341">
        <v>7428.0000000000009</v>
      </c>
      <c r="AM1476" s="341">
        <v>7447.0199999999995</v>
      </c>
      <c r="AN1476" s="341">
        <v>7492.5</v>
      </c>
      <c r="AO1476" s="341">
        <v>7437</v>
      </c>
      <c r="AP1476" s="341">
        <v>7362</v>
      </c>
      <c r="AQ1476" s="341">
        <v>7369.5</v>
      </c>
      <c r="AR1476" s="341">
        <v>7416</v>
      </c>
      <c r="AS1476" s="341">
        <v>7377</v>
      </c>
      <c r="AT1476" s="341">
        <v>7452</v>
      </c>
      <c r="AU1476" s="341">
        <v>7164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7164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2.7907000000000002</v>
      </c>
      <c r="G1477" s="271">
        <v>2.7906</v>
      </c>
      <c r="H1477" s="271">
        <v>2.7890999999999999</v>
      </c>
      <c r="I1477" s="271">
        <v>2.7909000000000002</v>
      </c>
      <c r="J1477" s="271">
        <v>2.7909000000000002</v>
      </c>
      <c r="K1477" s="271">
        <v>2.7932999999999999</v>
      </c>
      <c r="L1477" s="271">
        <v>2.7913999999999999</v>
      </c>
      <c r="M1477" s="271">
        <v>2.7936000000000001</v>
      </c>
      <c r="N1477" s="271">
        <v>2.7915000000000001</v>
      </c>
      <c r="O1477" s="271">
        <v>2.7942999999999998</v>
      </c>
      <c r="P1477" s="271">
        <v>2.7915999999999999</v>
      </c>
      <c r="Q1477" s="271">
        <v>2.7915999999999999</v>
      </c>
      <c r="R1477" s="271">
        <v>2.6884999999999999</v>
      </c>
      <c r="S1477" s="271">
        <v>2.6884999999999999</v>
      </c>
      <c r="T1477" s="271">
        <v>2.6907000000000001</v>
      </c>
      <c r="U1477" s="271">
        <v>2.6911</v>
      </c>
      <c r="V1477" s="271">
        <v>2.6894999999999998</v>
      </c>
      <c r="W1477" s="271">
        <v>2.6901999999999999</v>
      </c>
      <c r="X1477" s="271">
        <v>2.6899000000000002</v>
      </c>
      <c r="Y1477" s="271">
        <v>2.6903999999999999</v>
      </c>
      <c r="Z1477" s="273">
        <f ca="1">[1]ExtEntry!$R89</f>
        <v>2.6903999999999999</v>
      </c>
      <c r="AB1477" s="341">
        <v>82073.600000000006</v>
      </c>
      <c r="AC1477" s="341">
        <v>83020</v>
      </c>
      <c r="AD1477" s="341">
        <v>81757.200000000012</v>
      </c>
      <c r="AE1477" s="341">
        <v>79940</v>
      </c>
      <c r="AF1477" s="341">
        <v>79940</v>
      </c>
      <c r="AG1477" s="341">
        <v>78260</v>
      </c>
      <c r="AH1477" s="341">
        <v>86660</v>
      </c>
      <c r="AI1477" s="341">
        <v>84700</v>
      </c>
      <c r="AJ1477" s="341">
        <v>88900</v>
      </c>
      <c r="AK1477" s="341">
        <v>86931.599999999991</v>
      </c>
      <c r="AL1477" s="341">
        <v>84840</v>
      </c>
      <c r="AM1477" s="341">
        <v>84700</v>
      </c>
      <c r="AN1477" s="341">
        <v>83585.599999999991</v>
      </c>
      <c r="AO1477" s="341">
        <v>83720</v>
      </c>
      <c r="AP1477" s="341">
        <v>86800</v>
      </c>
      <c r="AQ1477" s="341">
        <v>88480</v>
      </c>
      <c r="AR1477" s="341">
        <v>87780</v>
      </c>
      <c r="AS1477" s="341">
        <v>90580</v>
      </c>
      <c r="AT1477" s="341">
        <v>91126</v>
      </c>
      <c r="AU1477" s="341">
        <v>92540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92540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0.55449999999999999</v>
      </c>
      <c r="G1478" s="271">
        <v>0.55389999999999995</v>
      </c>
      <c r="H1478" s="271">
        <v>0.55420000000000003</v>
      </c>
      <c r="I1478" s="271">
        <v>0.55520000000000003</v>
      </c>
      <c r="J1478" s="271">
        <v>0.55520000000000003</v>
      </c>
      <c r="K1478" s="271">
        <v>0.56169999999999998</v>
      </c>
      <c r="L1478" s="271">
        <v>0.5524</v>
      </c>
      <c r="M1478" s="271">
        <v>0.55720000000000003</v>
      </c>
      <c r="N1478" s="271">
        <v>0.55379999999999996</v>
      </c>
      <c r="O1478" s="271">
        <v>0.55110000000000003</v>
      </c>
      <c r="P1478" s="271">
        <v>0.55510000000000004</v>
      </c>
      <c r="Q1478" s="271">
        <v>0.55510000000000004</v>
      </c>
      <c r="R1478" s="271">
        <v>0.50749999999999995</v>
      </c>
      <c r="S1478" s="271">
        <v>0.50749999999999995</v>
      </c>
      <c r="T1478" s="271">
        <v>0.50549999999999995</v>
      </c>
      <c r="U1478" s="271">
        <v>0.50629999999999997</v>
      </c>
      <c r="V1478" s="271">
        <v>0.50700000000000001</v>
      </c>
      <c r="W1478" s="271">
        <v>0.50590000000000002</v>
      </c>
      <c r="X1478" s="271">
        <v>0.505</v>
      </c>
      <c r="Y1478" s="271">
        <v>0.50390000000000001</v>
      </c>
      <c r="Z1478" s="273">
        <f ca="1">[1]ExtEntry!$R90</f>
        <v>0.50390000000000001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2.6772999999999998</v>
      </c>
      <c r="G1479" s="263">
        <v>2.6762999999999999</v>
      </c>
      <c r="H1479" s="263">
        <v>2.6760999999999999</v>
      </c>
      <c r="I1479" s="263">
        <v>2.6781000000000001</v>
      </c>
      <c r="J1479" s="263">
        <v>2.6781000000000001</v>
      </c>
      <c r="K1479" s="263">
        <v>2.6793</v>
      </c>
      <c r="L1479" s="263">
        <v>2.6791999999999998</v>
      </c>
      <c r="M1479" s="263">
        <v>2.6797</v>
      </c>
      <c r="N1479" s="263">
        <v>2.6789999999999998</v>
      </c>
      <c r="O1479" s="263">
        <v>2.6789999999999998</v>
      </c>
      <c r="P1479" s="263">
        <v>2.6798000000000002</v>
      </c>
      <c r="Q1479" s="263">
        <v>2.6798000000000002</v>
      </c>
      <c r="R1479" s="263">
        <v>2.7425000000000002</v>
      </c>
      <c r="S1479" s="263">
        <v>2.7425000000000002</v>
      </c>
      <c r="T1479" s="263">
        <v>2.7450000000000001</v>
      </c>
      <c r="U1479" s="263">
        <v>2.7463000000000002</v>
      </c>
      <c r="V1479" s="263">
        <v>2.7454000000000001</v>
      </c>
      <c r="W1479" s="263">
        <v>2.7450999999999999</v>
      </c>
      <c r="X1479" s="263">
        <v>2.7443</v>
      </c>
      <c r="Y1479" s="263">
        <v>2.7383000000000002</v>
      </c>
      <c r="Z1479" s="265">
        <f ca="1">[1]ExtEntry!$R91</f>
        <v>2.7383000000000002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1.5522</v>
      </c>
      <c r="G1480" s="271">
        <v>1.5524</v>
      </c>
      <c r="H1480" s="271">
        <v>1.5522</v>
      </c>
      <c r="I1480" s="271">
        <v>1.5519000000000001</v>
      </c>
      <c r="J1480" s="271">
        <v>1.5519000000000001</v>
      </c>
      <c r="K1480" s="271">
        <v>1.5512999999999999</v>
      </c>
      <c r="L1480" s="271">
        <v>1.5555000000000001</v>
      </c>
      <c r="M1480" s="271">
        <v>1.5538000000000001</v>
      </c>
      <c r="N1480" s="271">
        <v>1.5557000000000001</v>
      </c>
      <c r="O1480" s="271">
        <v>1.5576000000000001</v>
      </c>
      <c r="P1480" s="271">
        <v>1.5569999999999999</v>
      </c>
      <c r="Q1480" s="271">
        <v>1.5569999999999999</v>
      </c>
      <c r="R1480" s="271">
        <v>1.52</v>
      </c>
      <c r="S1480" s="271">
        <v>1.52</v>
      </c>
      <c r="T1480" s="271">
        <v>1.5184</v>
      </c>
      <c r="U1480" s="271">
        <v>1.5163</v>
      </c>
      <c r="V1480" s="271">
        <v>1.5182</v>
      </c>
      <c r="W1480" s="271">
        <v>1.5179</v>
      </c>
      <c r="X1480" s="271">
        <v>1.5188999999999999</v>
      </c>
      <c r="Y1480" s="271">
        <v>1.5185999999999999</v>
      </c>
      <c r="Z1480" s="273">
        <f ca="1">[1]ExtEntry!$R92</f>
        <v>1.5185999999999999</v>
      </c>
      <c r="AB1480" s="341">
        <v>111387.25</v>
      </c>
      <c r="AC1480" s="341">
        <v>110792.49999999999</v>
      </c>
      <c r="AD1480" s="341">
        <v>112151</v>
      </c>
      <c r="AE1480" s="341">
        <v>114712</v>
      </c>
      <c r="AF1480" s="341">
        <v>114712</v>
      </c>
      <c r="AG1480" s="341">
        <v>118261</v>
      </c>
      <c r="AH1480" s="341">
        <v>117149.5</v>
      </c>
      <c r="AI1480" s="341">
        <v>117026</v>
      </c>
      <c r="AJ1480" s="341">
        <v>118267.49999999999</v>
      </c>
      <c r="AK1480" s="341">
        <v>118491.74999999999</v>
      </c>
      <c r="AL1480" s="341">
        <v>119814.50000000001</v>
      </c>
      <c r="AM1480" s="341">
        <v>120151.84999999999</v>
      </c>
      <c r="AN1480" s="341">
        <v>120919.5</v>
      </c>
      <c r="AO1480" s="341">
        <v>121491.5</v>
      </c>
      <c r="AP1480" s="341">
        <v>125138</v>
      </c>
      <c r="AQ1480" s="341">
        <v>86602.5</v>
      </c>
      <c r="AR1480" s="341">
        <v>39278</v>
      </c>
      <c r="AS1480" s="341">
        <v>38356</v>
      </c>
      <c r="AT1480" s="341">
        <v>38662</v>
      </c>
      <c r="AU1480" s="341">
        <v>38534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38534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0.71479999999999999</v>
      </c>
      <c r="G1482" s="271">
        <v>0.71519999999999995</v>
      </c>
      <c r="H1482" s="271">
        <v>0.71479999999999999</v>
      </c>
      <c r="I1482" s="271">
        <v>0.71489999999999998</v>
      </c>
      <c r="J1482" s="271">
        <v>0.71489999999999998</v>
      </c>
      <c r="K1482" s="271">
        <v>0.71530000000000005</v>
      </c>
      <c r="L1482" s="271">
        <v>0.7157</v>
      </c>
      <c r="M1482" s="271">
        <v>0.71479999999999999</v>
      </c>
      <c r="N1482" s="271">
        <v>0.7157</v>
      </c>
      <c r="O1482" s="271">
        <v>0.71630000000000005</v>
      </c>
      <c r="P1482" s="271">
        <v>0.71930000000000005</v>
      </c>
      <c r="Q1482" s="271">
        <v>0.71289999999999998</v>
      </c>
      <c r="R1482" s="271">
        <v>0.71479999999999999</v>
      </c>
      <c r="S1482" s="271">
        <v>0.71479999999999999</v>
      </c>
      <c r="T1482" s="271">
        <v>0.71540000000000004</v>
      </c>
      <c r="U1482" s="271">
        <v>0.71319999999999995</v>
      </c>
      <c r="V1482" s="271">
        <v>0.71040000000000003</v>
      </c>
      <c r="W1482" s="271">
        <v>0.71230000000000004</v>
      </c>
      <c r="X1482" s="271">
        <v>0.71150000000000002</v>
      </c>
      <c r="Y1482" s="271">
        <v>0.71130000000000004</v>
      </c>
      <c r="Z1482" s="273">
        <f ca="1">[1]ExtEntry!$R94</f>
        <v>0.71130000000000004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0.62690000000000001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7" t="s">
        <v>1091</v>
      </c>
      <c r="AC1484" s="1197"/>
      <c r="AD1484" s="1197"/>
      <c r="AE1484" s="1197"/>
      <c r="AF1484" s="1197"/>
      <c r="AG1484" s="1197"/>
      <c r="AH1484" s="1197"/>
      <c r="AI1484" s="1197"/>
      <c r="AJ1484" s="1197"/>
      <c r="AK1484" s="1197"/>
      <c r="AL1484" s="1197"/>
      <c r="AM1484" s="1197"/>
      <c r="AN1484" s="1197"/>
      <c r="AO1484" s="1197"/>
      <c r="AP1484" s="1197"/>
      <c r="AQ1484" s="1197"/>
      <c r="AR1484" s="1197"/>
      <c r="AS1484" s="1197"/>
      <c r="AT1484" s="1197"/>
      <c r="AU1484" s="1197"/>
      <c r="AV1484" s="745">
        <f ca="1">SUBTOTAL(109,Tab2Surplus[ExtraV20])</f>
        <v>2549690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45887</v>
      </c>
      <c r="G1488" s="128">
        <f t="shared" ref="G1488:Z1488" si="101">G1389</f>
        <v>45888</v>
      </c>
      <c r="H1488" s="128">
        <f t="shared" si="101"/>
        <v>45889</v>
      </c>
      <c r="I1488" s="128">
        <f t="shared" si="101"/>
        <v>45890</v>
      </c>
      <c r="J1488" s="128">
        <f t="shared" si="101"/>
        <v>45891</v>
      </c>
      <c r="K1488" s="128">
        <f t="shared" si="101"/>
        <v>45894</v>
      </c>
      <c r="L1488" s="128">
        <f t="shared" si="101"/>
        <v>45895</v>
      </c>
      <c r="M1488" s="128">
        <f t="shared" si="101"/>
        <v>45896</v>
      </c>
      <c r="N1488" s="128">
        <f t="shared" si="101"/>
        <v>45897</v>
      </c>
      <c r="O1488" s="128">
        <f t="shared" si="101"/>
        <v>45898</v>
      </c>
      <c r="P1488" s="128">
        <f t="shared" si="101"/>
        <v>45901</v>
      </c>
      <c r="Q1488" s="128">
        <f t="shared" si="101"/>
        <v>45902</v>
      </c>
      <c r="R1488" s="128">
        <f t="shared" si="101"/>
        <v>45903</v>
      </c>
      <c r="S1488" s="128">
        <f t="shared" si="101"/>
        <v>45904</v>
      </c>
      <c r="T1488" s="128">
        <f t="shared" si="101"/>
        <v>45905</v>
      </c>
      <c r="U1488" s="128">
        <f t="shared" si="101"/>
        <v>45908</v>
      </c>
      <c r="V1488" s="128">
        <f t="shared" si="101"/>
        <v>45909</v>
      </c>
      <c r="W1488" s="128">
        <f t="shared" si="101"/>
        <v>45910</v>
      </c>
      <c r="X1488" s="128">
        <f t="shared" si="101"/>
        <v>45911</v>
      </c>
      <c r="Y1488" s="128">
        <f t="shared" si="101"/>
        <v>45912</v>
      </c>
      <c r="Z1488" s="128">
        <f t="shared" ca="1" si="101"/>
        <v>45912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45887</v>
      </c>
      <c r="AC1489" s="128">
        <f t="shared" si="102"/>
        <v>45888</v>
      </c>
      <c r="AD1489" s="128">
        <f t="shared" si="102"/>
        <v>45889</v>
      </c>
      <c r="AE1489" s="128">
        <f t="shared" si="102"/>
        <v>45890</v>
      </c>
      <c r="AF1489" s="128">
        <f t="shared" si="102"/>
        <v>45891</v>
      </c>
      <c r="AG1489" s="128">
        <f t="shared" si="102"/>
        <v>45894</v>
      </c>
      <c r="AH1489" s="128">
        <f t="shared" si="102"/>
        <v>45895</v>
      </c>
      <c r="AI1489" s="128">
        <f t="shared" si="102"/>
        <v>45896</v>
      </c>
      <c r="AJ1489" s="128">
        <f t="shared" si="102"/>
        <v>45897</v>
      </c>
      <c r="AK1489" s="128">
        <f t="shared" si="102"/>
        <v>45898</v>
      </c>
      <c r="AL1489" s="128">
        <f t="shared" si="102"/>
        <v>45901</v>
      </c>
      <c r="AM1489" s="128">
        <f t="shared" si="102"/>
        <v>45902</v>
      </c>
      <c r="AN1489" s="128">
        <f t="shared" si="102"/>
        <v>45903</v>
      </c>
      <c r="AO1489" s="128">
        <f t="shared" si="102"/>
        <v>45904</v>
      </c>
      <c r="AP1489" s="128">
        <f t="shared" si="102"/>
        <v>45905</v>
      </c>
      <c r="AQ1489" s="128">
        <f t="shared" si="102"/>
        <v>45908</v>
      </c>
      <c r="AR1489" s="128">
        <f t="shared" si="102"/>
        <v>45909</v>
      </c>
      <c r="AS1489" s="128">
        <f t="shared" si="102"/>
        <v>45910</v>
      </c>
      <c r="AT1489" s="128">
        <f t="shared" si="102"/>
        <v>45911</v>
      </c>
      <c r="AU1489" s="128">
        <f t="shared" si="102"/>
        <v>45912</v>
      </c>
      <c r="AV1489" s="128">
        <f t="shared" ca="1" si="102"/>
        <v>45912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>
        <v>4.7619047619047672E-2</v>
      </c>
      <c r="U1490" s="1116">
        <v>4.7619047619047672E-2</v>
      </c>
      <c r="V1490" s="1116">
        <v>-0.14285714285714285</v>
      </c>
      <c r="W1490" s="1116">
        <v>-0.23809523809523814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>
        <v>0.14285714285714279</v>
      </c>
      <c r="U1491" s="1116">
        <v>0.14285714285714279</v>
      </c>
      <c r="V1491" s="1116">
        <v>0.14285714285714279</v>
      </c>
      <c r="W1491" s="1116">
        <v>4.7619047619047672E-2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>
        <v>4.635761589403975E-2</v>
      </c>
      <c r="AQ1491" s="1116">
        <v>4.635761589403975E-2</v>
      </c>
      <c r="AR1491" s="1116">
        <v>3.3112582781456901E-2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>
        <v>-4.7619047619047672E-2</v>
      </c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>
        <v>-4.635761589403975E-2</v>
      </c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>
        <v>0.23809523809523814</v>
      </c>
      <c r="U1493" s="1116">
        <v>0.23809523809523814</v>
      </c>
      <c r="V1493" s="1116">
        <v>0.14285714285714279</v>
      </c>
      <c r="W1493" s="1116">
        <v>0.23809523809523814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>
        <v>-0.19205298013245026</v>
      </c>
      <c r="AQ1493" s="1116">
        <v>-0.19205298013245026</v>
      </c>
      <c r="AR1493" s="1116">
        <v>-0.19205298013245026</v>
      </c>
      <c r="AS1493" s="1116">
        <v>-0.20529801324503311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>
        <v>-0.33333333333333343</v>
      </c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>
        <v>6.6225165562914245E-3</v>
      </c>
      <c r="AQ1494" s="1116">
        <v>6.6225165562914245E-3</v>
      </c>
      <c r="AR1494" s="1116">
        <v>1.9867549668874274E-2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>
        <v>0.33333333333333326</v>
      </c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0.23809523809523814</v>
      </c>
      <c r="Z1495" s="1116">
        <f ca="1">_xlfn.XLOOKUP(A1396,TabCalc[Ticker],TabCalc[Imp20])</f>
        <v>0.23809523809523814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>
        <v>-0.17880794701986757</v>
      </c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>
        <v>0.23809523809523814</v>
      </c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>
        <v>-1.9867549668874107E-2</v>
      </c>
      <c r="AQ1496" s="1116">
        <v>-1.9867549668874107E-2</v>
      </c>
      <c r="AR1496" s="1116">
        <v>-6.6225165562914245E-3</v>
      </c>
      <c r="AS1496" s="1116">
        <v>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>
        <v>-0.33333333333333343</v>
      </c>
      <c r="U1497" s="1116">
        <v>-0.33333333333333343</v>
      </c>
      <c r="V1497" s="1116">
        <v>-0.33333333333333343</v>
      </c>
      <c r="W1497" s="1116">
        <v>-0.33333333333333343</v>
      </c>
      <c r="X1497" s="1116">
        <v>-0.23809523809523814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>
        <v>6.6225165562914245E-3</v>
      </c>
      <c r="AQ1497" s="1116">
        <v>6.6225165562914245E-3</v>
      </c>
      <c r="AR1497" s="1116">
        <v>-6.6225165562914245E-3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>
        <v>-0.4285714285714286</v>
      </c>
      <c r="U1498" s="1116">
        <v>-0.4285714285714286</v>
      </c>
      <c r="V1498" s="1116">
        <v>-0.33333333333333343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>
        <v>-8.6092715231788075E-2</v>
      </c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-7.2847682119205392E-2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>
        <v>-4.7619047619047672E-2</v>
      </c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>
        <v>-0.17880794701986757</v>
      </c>
      <c r="AQ1499" s="1116">
        <v>-0.17880794701986757</v>
      </c>
      <c r="AR1499" s="1116">
        <v>-0.16556291390728473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>
        <v>4.7619047619047672E-2</v>
      </c>
      <c r="U1500" s="1116">
        <v>4.7619047619047672E-2</v>
      </c>
      <c r="V1500" s="1116">
        <v>-0.14285714285714285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>
        <v>8.6092715231788075E-2</v>
      </c>
      <c r="AQ1500" s="1116">
        <v>8.6092715231788075E-2</v>
      </c>
      <c r="AR1500" s="1116">
        <v>7.2847682119205226E-2</v>
      </c>
      <c r="AS1500" s="1116">
        <v>8.6092715231788075E-2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>
        <v>0.52380952380952372</v>
      </c>
      <c r="U1501" s="1116">
        <v>0.52380952380952372</v>
      </c>
      <c r="V1501" s="1116">
        <v>0.4285714285714286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>
        <v>5.9602649006622599E-2</v>
      </c>
      <c r="AQ1501" s="1116">
        <v>5.9602649006622599E-2</v>
      </c>
      <c r="AR1501" s="1116">
        <v>3.3112582781456901E-2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>
        <v>-0.14285714285714285</v>
      </c>
      <c r="U1502" s="1116">
        <v>-0.14285714285714285</v>
      </c>
      <c r="V1502" s="1116">
        <v>-4.7619047619047672E-2</v>
      </c>
      <c r="W1502" s="1116">
        <v>-0.14285714285714285</v>
      </c>
      <c r="X1502" s="1116">
        <v>-0.14285714285714285</v>
      </c>
      <c r="Y1502" s="1116">
        <v>-4.7619047619047672E-2</v>
      </c>
      <c r="Z1502" s="1116">
        <f ca="1">_xlfn.XLOOKUP(A1403,TabCalc[Ticker],TabCalc[Imp20])</f>
        <v>-4.7619047619047672E-2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>
        <v>7.2847682119205226E-2</v>
      </c>
      <c r="AQ1502" s="1116">
        <v>7.2847682119205226E-2</v>
      </c>
      <c r="AR1502" s="1116">
        <v>8.6092715231788075E-2</v>
      </c>
      <c r="AS1502" s="1116">
        <v>9.9337748344370924E-2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>
        <v>-0.14285714285714285</v>
      </c>
      <c r="U1503" s="1116">
        <v>-0.14285714285714285</v>
      </c>
      <c r="V1503" s="1116">
        <v>-4.7619047619047672E-2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>
        <v>-0.2185430463576159</v>
      </c>
      <c r="AQ1503" s="1116">
        <v>-0.2185430463576159</v>
      </c>
      <c r="AR1503" s="1116">
        <v>-0.19205298013245026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>
        <v>4.7619047619047672E-2</v>
      </c>
      <c r="U1504" s="1116">
        <v>4.7619047619047672E-2</v>
      </c>
      <c r="V1504" s="1116">
        <v>0.14285714285714279</v>
      </c>
      <c r="W1504" s="1116">
        <v>0.23809523809523814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>
        <v>-4.635761589403975E-2</v>
      </c>
      <c r="AQ1504" s="1116">
        <v>-4.635761589403975E-2</v>
      </c>
      <c r="AR1504" s="1116">
        <v>-5.9602649006622543E-2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>
        <v>-4.7619047619047672E-2</v>
      </c>
      <c r="U1505" s="1116">
        <v>-4.7619047619047672E-2</v>
      </c>
      <c r="V1505" s="1116">
        <v>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>
        <v>-0.15231788079470204</v>
      </c>
      <c r="AQ1505" s="1116">
        <v>-0.15231788079470204</v>
      </c>
      <c r="AR1505" s="1116">
        <v>-0.13907284768211925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>
        <v>4.7619047619047672E-2</v>
      </c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>
        <v>1.9867549668874274E-2</v>
      </c>
      <c r="AQ1506" s="1116">
        <v>1.9867549668874274E-2</v>
      </c>
      <c r="AR1506" s="1116">
        <v>6.6225165562914245E-3</v>
      </c>
      <c r="AS1506" s="1116">
        <v>1.9867549668874274E-2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>
        <v>-0.4285714285714286</v>
      </c>
      <c r="U1507" s="1116">
        <v>-0.4285714285714286</v>
      </c>
      <c r="V1507" s="1116">
        <v>-0.23809523809523814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>
        <v>-7.2847682119205392E-2</v>
      </c>
      <c r="AQ1507" s="1116">
        <v>-7.2847682119205392E-2</v>
      </c>
      <c r="AR1507" s="1116">
        <v>-7.2847682119205392E-2</v>
      </c>
      <c r="AS1507" s="1116">
        <v>-8.6092715231788075E-2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>
        <v>-0.23809523809523814</v>
      </c>
      <c r="U1508" s="1116">
        <v>-0.23809523809523814</v>
      </c>
      <c r="V1508" s="1116">
        <v>-0.14285714285714285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>
        <v>0.13907284768211925</v>
      </c>
      <c r="AQ1508" s="1116">
        <v>0.13907284768211925</v>
      </c>
      <c r="AR1508" s="1116">
        <v>0.15231788079470188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>
        <v>4.7619047619047672E-2</v>
      </c>
      <c r="U1509" s="1116">
        <v>4.7619047619047672E-2</v>
      </c>
      <c r="V1509" s="1116">
        <v>4.7619047619047672E-2</v>
      </c>
      <c r="W1509" s="1116">
        <v>-4.7619047619047672E-2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>
        <v>-0.23178807947019869</v>
      </c>
      <c r="AQ1509" s="1116">
        <v>-0.23178807947019869</v>
      </c>
      <c r="AR1509" s="1116">
        <v>-0.2185430463576159</v>
      </c>
      <c r="AS1509" s="1116">
        <v>-0.20529801324503311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>
        <v>0.33333333333333326</v>
      </c>
      <c r="U1510" s="1116">
        <v>0.33333333333333326</v>
      </c>
      <c r="V1510" s="1116">
        <v>0.23809523809523814</v>
      </c>
      <c r="W1510" s="1116">
        <v>0.23809523809523814</v>
      </c>
      <c r="X1510" s="1116">
        <v>0.33333333333333326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>
        <v>8.6092715231788075E-2</v>
      </c>
      <c r="AQ1510" s="1116">
        <v>8.6092715231788075E-2</v>
      </c>
      <c r="AR1510" s="1116">
        <v>9.9337748344370924E-2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>
        <v>0.23809523809523814</v>
      </c>
      <c r="U1511" s="1116">
        <v>0.23809523809523814</v>
      </c>
      <c r="V1511" s="1116">
        <v>0.33333333333333326</v>
      </c>
      <c r="W1511" s="1116">
        <v>0.23809523809523814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>
        <v>4.635761589403975E-2</v>
      </c>
      <c r="AQ1511" s="1116">
        <v>4.635761589403975E-2</v>
      </c>
      <c r="AR1511" s="1116">
        <v>4.635761589403975E-2</v>
      </c>
      <c r="AS1511" s="1116">
        <v>5.9602649006622599E-2</v>
      </c>
      <c r="AT1511" s="1116">
        <v>7.2847682119205226E-2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>
        <v>0.4285714285714286</v>
      </c>
      <c r="U1512" s="1116">
        <v>0.4285714285714286</v>
      </c>
      <c r="V1512" s="1116">
        <v>0.52380952380952372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>
        <v>6.6225165562914245E-3</v>
      </c>
      <c r="AQ1512" s="1116">
        <v>6.6225165562914245E-3</v>
      </c>
      <c r="AR1512" s="1116">
        <v>1.9867549668874274E-2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>
        <v>4.7619047619047672E-2</v>
      </c>
      <c r="U1513" s="1116">
        <v>4.7619047619047672E-2</v>
      </c>
      <c r="V1513" s="1116">
        <v>-4.7619047619047672E-2</v>
      </c>
      <c r="W1513" s="1116">
        <v>-0.14285714285714285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>
        <v>0.17880794701986757</v>
      </c>
      <c r="AQ1513" s="1116">
        <v>0.17880794701986757</v>
      </c>
      <c r="AR1513" s="1116">
        <v>0.19205298013245042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>
        <v>-0.14285714285714285</v>
      </c>
      <c r="U1514" s="1116">
        <v>-0.14285714285714285</v>
      </c>
      <c r="V1514" s="1116">
        <v>-4.7619047619047672E-2</v>
      </c>
      <c r="W1514" s="1116">
        <v>-0.14285714285714285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>
        <v>1.9867549668874274E-2</v>
      </c>
      <c r="AQ1514" s="1116">
        <v>1.9867549668874274E-2</v>
      </c>
      <c r="AR1514" s="1116">
        <v>1.9867549668874274E-2</v>
      </c>
      <c r="AS1514" s="1116">
        <v>6.6225165562914245E-3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>
        <v>4.7619047619047672E-2</v>
      </c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>
        <v>-4.635761589403975E-2</v>
      </c>
      <c r="AQ1515" s="1116">
        <v>-4.635761589403975E-2</v>
      </c>
      <c r="AR1515" s="1116">
        <v>-3.3112582781456901E-2</v>
      </c>
      <c r="AS1515" s="1116">
        <v>-4.635761589403975E-2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>
        <v>-0.23809523809523814</v>
      </c>
      <c r="U1516" s="1116">
        <v>-0.23809523809523814</v>
      </c>
      <c r="V1516" s="1116">
        <v>-0.14285714285714285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>
        <v>-0.13907284768211925</v>
      </c>
      <c r="AQ1516" s="1116">
        <v>-0.13907284768211925</v>
      </c>
      <c r="AR1516" s="1116">
        <v>-0.1258278145695364</v>
      </c>
      <c r="AS1516" s="1116">
        <v>-0.11258278145695361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>
        <v>-0.23809523809523814</v>
      </c>
      <c r="U1517" s="1116">
        <v>-0.23809523809523814</v>
      </c>
      <c r="V1517" s="1116">
        <v>-0.14285714285714285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>
        <v>-7.2847682119205392E-2</v>
      </c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>
        <v>-0.23809523809523814</v>
      </c>
      <c r="U1518" s="1116">
        <v>-0.23809523809523814</v>
      </c>
      <c r="V1518" s="1116">
        <v>-0.23809523809523814</v>
      </c>
      <c r="W1518" s="1116">
        <v>-0.14285714285714285</v>
      </c>
      <c r="X1518" s="1116">
        <v>-0.14285714285714285</v>
      </c>
      <c r="Y1518" s="1116">
        <v>-4.7619047619047672E-2</v>
      </c>
      <c r="Z1518" s="1116">
        <f ca="1">_xlfn.XLOOKUP(A1419,TabCalc[Ticker],TabCalc[Imp20])</f>
        <v>-4.7619047619047672E-2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>
        <v>8.6092715231788075E-2</v>
      </c>
      <c r="AQ1518" s="1116">
        <v>8.6092715231788075E-2</v>
      </c>
      <c r="AR1518" s="1116">
        <v>9.9337748344370924E-2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>
        <v>0.14285714285714279</v>
      </c>
      <c r="U1519" s="1116">
        <v>0.14285714285714279</v>
      </c>
      <c r="V1519" s="1116">
        <v>4.7619047619047672E-2</v>
      </c>
      <c r="W1519" s="1116">
        <v>0.14285714285714279</v>
      </c>
      <c r="X1519" s="1116">
        <v>0.14285714285714279</v>
      </c>
      <c r="Y1519" s="1116">
        <v>0.23809523809523814</v>
      </c>
      <c r="Z1519" s="1116">
        <f ca="1">_xlfn.XLOOKUP(A1420,TabCalc[Ticker],TabCalc[Imp20])</f>
        <v>0.23809523809523814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>
        <v>6.6225165562914245E-3</v>
      </c>
      <c r="AQ1519" s="1116">
        <v>6.6225165562914245E-3</v>
      </c>
      <c r="AR1519" s="1116">
        <v>-6.6225165562914245E-3</v>
      </c>
      <c r="AS1519" s="1116">
        <v>-6.6225165562914245E-3</v>
      </c>
      <c r="AT1519" s="1116">
        <v>6.6225165562914245E-3</v>
      </c>
      <c r="AU1519" s="1116">
        <v>1.9867549668874274E-2</v>
      </c>
      <c r="AV1519" s="1116">
        <f ca="1">_xlfn.XLOOKUP(A1419,TabCalc[Ticker],TabCalc[Imp150])</f>
        <v>1.9867549668874274E-2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>
        <v>0.33333333333333326</v>
      </c>
      <c r="U1520" s="1116">
        <v>0.33333333333333326</v>
      </c>
      <c r="V1520" s="1116">
        <v>0.23809523809523814</v>
      </c>
      <c r="W1520" s="1116">
        <v>0.23809523809523814</v>
      </c>
      <c r="X1520" s="1116">
        <v>0.14285714285714279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>
        <v>0.16556291390728473</v>
      </c>
      <c r="AQ1520" s="1116">
        <v>0.16556291390728473</v>
      </c>
      <c r="AR1520" s="1116">
        <v>0.15231788079470188</v>
      </c>
      <c r="AS1520" s="1116">
        <v>0.16556291390728473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>
        <v>-0.52380952380952372</v>
      </c>
      <c r="U1521" s="1116">
        <v>-0.52380952380952372</v>
      </c>
      <c r="V1521" s="1116">
        <v>-0.4285714285714286</v>
      </c>
      <c r="W1521" s="1116">
        <v>-0.33333333333333343</v>
      </c>
      <c r="X1521" s="1116">
        <v>-0.23809523809523814</v>
      </c>
      <c r="Y1521" s="1116">
        <v>-0.14285714285714285</v>
      </c>
      <c r="Z1521" s="1116">
        <f ca="1">_xlfn.XLOOKUP(A1422,TabCalc[Ticker],TabCalc[Imp20])</f>
        <v>-0.14285714285714285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>
        <v>0.1258278145695364</v>
      </c>
      <c r="AQ1521" s="1116">
        <v>0.1258278145695364</v>
      </c>
      <c r="AR1521" s="1116">
        <v>0.1258278145695364</v>
      </c>
      <c r="AS1521" s="1116">
        <v>0.1258278145695364</v>
      </c>
      <c r="AT1521" s="1116">
        <v>0.11258278145695355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>
        <v>4.7619047619047672E-2</v>
      </c>
      <c r="U1522" s="1116">
        <v>4.7619047619047672E-2</v>
      </c>
      <c r="V1522" s="1116">
        <v>4.7619047619047672E-2</v>
      </c>
      <c r="W1522" s="1116">
        <v>-4.7619047619047672E-2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>
        <v>-0.11258278145695361</v>
      </c>
      <c r="AQ1522" s="1116">
        <v>-0.11258278145695361</v>
      </c>
      <c r="AR1522" s="1116">
        <v>-8.6092715231788075E-2</v>
      </c>
      <c r="AS1522" s="1116">
        <v>-7.2847682119205392E-2</v>
      </c>
      <c r="AT1522" s="1116">
        <v>-5.9602649006622543E-2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>
        <v>-4.7619047619047672E-2</v>
      </c>
      <c r="U1523" s="1116">
        <v>-4.7619047619047672E-2</v>
      </c>
      <c r="V1523" s="1116">
        <v>-0.14285714285714285</v>
      </c>
      <c r="W1523" s="1116">
        <v>-0.14285714285714285</v>
      </c>
      <c r="X1523" s="1116">
        <v>-0.23809523809523814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>
        <v>4.635761589403975E-2</v>
      </c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>
        <v>4.7619047619047672E-2</v>
      </c>
      <c r="U1524" s="1116">
        <v>4.7619047619047672E-2</v>
      </c>
      <c r="V1524" s="1116">
        <v>0.23809523809523814</v>
      </c>
      <c r="W1524" s="1116">
        <v>0.14285714285714279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>
        <v>-7.2847682119205392E-2</v>
      </c>
      <c r="AQ1524" s="1116">
        <v>-7.2847682119205392E-2</v>
      </c>
      <c r="AR1524" s="1116">
        <v>-8.6092715231788075E-2</v>
      </c>
      <c r="AS1524" s="1116">
        <v>-9.9337748344370758E-2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>
        <v>4.7619047619047672E-2</v>
      </c>
      <c r="U1525" s="1116">
        <v>4.7619047619047672E-2</v>
      </c>
      <c r="V1525" s="1116">
        <v>-4.7619047619047672E-2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>
        <v>-6.6225165562914245E-3</v>
      </c>
      <c r="AQ1525" s="1116">
        <v>-6.6225165562914245E-3</v>
      </c>
      <c r="AR1525" s="1116">
        <v>6.6225165562914245E-3</v>
      </c>
      <c r="AS1525" s="1116">
        <v>-6.6225165562914245E-3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>
        <v>0.33333333333333326</v>
      </c>
      <c r="U1526" s="1116">
        <v>0.33333333333333326</v>
      </c>
      <c r="V1526" s="1116">
        <v>0.23809523809523814</v>
      </c>
      <c r="W1526" s="1116">
        <v>0.14285714285714279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>
        <v>-4.635761589403975E-2</v>
      </c>
      <c r="AQ1526" s="1116">
        <v>-4.635761589403975E-2</v>
      </c>
      <c r="AR1526" s="1116">
        <v>-5.9602649006622543E-2</v>
      </c>
      <c r="AS1526" s="1116">
        <v>-7.2847682119205392E-2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>
        <v>-0.14285714285714285</v>
      </c>
      <c r="U1527" s="1116">
        <v>-0.14285714285714285</v>
      </c>
      <c r="V1527" s="1116">
        <v>4.7619047619047672E-2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>
        <v>1.9867549668874274E-2</v>
      </c>
      <c r="AQ1527" s="1116">
        <v>1.9867549668874274E-2</v>
      </c>
      <c r="AR1527" s="1116">
        <v>6.6225165562914245E-3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>
        <v>-4.7619047619047672E-2</v>
      </c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>
        <v>7.2847682119205226E-2</v>
      </c>
      <c r="AQ1528" s="1116">
        <v>7.2847682119205226E-2</v>
      </c>
      <c r="AR1528" s="1116">
        <v>8.6092715231788075E-2</v>
      </c>
      <c r="AS1528" s="1116">
        <v>7.2847682119205226E-2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>
        <v>0.23809523809523814</v>
      </c>
      <c r="U1529" s="1116">
        <v>0.23809523809523814</v>
      </c>
      <c r="V1529" s="1116">
        <v>0.14285714285714279</v>
      </c>
      <c r="W1529" s="1116">
        <v>4.7619047619047672E-2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>
        <v>-7.2847682119205392E-2</v>
      </c>
      <c r="AQ1529" s="1116">
        <v>-7.2847682119205392E-2</v>
      </c>
      <c r="AR1529" s="1116">
        <v>-7.2847682119205392E-2</v>
      </c>
      <c r="AS1529" s="1116">
        <v>-8.6092715231788075E-2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>
        <v>-0.14285714285714285</v>
      </c>
      <c r="U1530" s="1116">
        <v>-0.14285714285714285</v>
      </c>
      <c r="V1530" s="1116">
        <v>4.7619047619047672E-2</v>
      </c>
      <c r="W1530" s="1116">
        <v>-4.7619047619047672E-2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>
        <v>6.6225165562914245E-3</v>
      </c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>
        <v>4.7619047619047672E-2</v>
      </c>
      <c r="U1531" s="1116">
        <v>4.7619047619047672E-2</v>
      </c>
      <c r="V1531" s="1116">
        <v>-4.7619047619047672E-2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>
        <v>-7.2847682119205392E-2</v>
      </c>
      <c r="AQ1531" s="1116">
        <v>-7.2847682119205392E-2</v>
      </c>
      <c r="AR1531" s="1116">
        <v>-4.635761589403975E-2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>
        <v>-4.7619047619047672E-2</v>
      </c>
      <c r="U1532" s="1116">
        <v>-4.7619047619047672E-2</v>
      </c>
      <c r="V1532" s="1116">
        <v>4.7619047619047672E-2</v>
      </c>
      <c r="W1532" s="1116">
        <v>0.14285714285714279</v>
      </c>
      <c r="X1532" s="1116">
        <v>0.14285714285714279</v>
      </c>
      <c r="Y1532" s="1116">
        <v>4.7619047619047672E-2</v>
      </c>
      <c r="Z1532" s="1116">
        <f ca="1">_xlfn.XLOOKUP(A1433,TabCalc[Ticker],TabCalc[Imp20])</f>
        <v>4.7619047619047672E-2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>
        <v>-3.3112582781456901E-2</v>
      </c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-1.9867549668874107E-2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>
        <v>-0.14285714285714285</v>
      </c>
      <c r="U1533" s="1116">
        <v>-0.14285714285714285</v>
      </c>
      <c r="V1533" s="1116">
        <v>-0.23809523809523814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>
        <v>5.9602649006622599E-2</v>
      </c>
      <c r="AQ1533" s="1116">
        <v>5.9602649006622599E-2</v>
      </c>
      <c r="AR1533" s="1116">
        <v>7.2847682119205226E-2</v>
      </c>
      <c r="AS1533" s="1116">
        <v>7.2847682119205226E-2</v>
      </c>
      <c r="AT1533" s="1116">
        <v>8.6092715231788075E-2</v>
      </c>
      <c r="AU1533" s="1116">
        <v>7.2847682119205226E-2</v>
      </c>
      <c r="AV1533" s="1116">
        <f ca="1">_xlfn.XLOOKUP(A1433,TabCalc[Ticker],TabCalc[Imp150])</f>
        <v>7.2847682119205226E-2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>
        <v>-0.33333333333333343</v>
      </c>
      <c r="U1534" s="1116">
        <v>-0.33333333333333343</v>
      </c>
      <c r="V1534" s="1116">
        <v>-0.14285714285714285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>
        <v>-0.19205298013245026</v>
      </c>
      <c r="AQ1534" s="1116">
        <v>-0.19205298013245026</v>
      </c>
      <c r="AR1534" s="1116">
        <v>-0.20529801324503311</v>
      </c>
      <c r="AS1534" s="1116">
        <v>-0.19205298013245026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>
        <v>0.23809523809523814</v>
      </c>
      <c r="U1535" s="1116">
        <v>0.23809523809523814</v>
      </c>
      <c r="V1535" s="1116">
        <v>0.23809523809523814</v>
      </c>
      <c r="W1535" s="1116">
        <v>0.14285714285714279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>
        <v>-6.6225165562914245E-3</v>
      </c>
      <c r="AQ1535" s="1116">
        <v>-6.6225165562914245E-3</v>
      </c>
      <c r="AR1535" s="1116">
        <v>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>
        <v>4.7619047619047672E-2</v>
      </c>
      <c r="U1536" s="1116">
        <v>4.7619047619047672E-2</v>
      </c>
      <c r="V1536" s="1116">
        <v>-4.7619047619047672E-2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>
        <v>0.1258278145695364</v>
      </c>
      <c r="AQ1536" s="1116">
        <v>0.1258278145695364</v>
      </c>
      <c r="AR1536" s="1116">
        <v>0.13907284768211925</v>
      </c>
      <c r="AS1536" s="1116">
        <v>0.1258278145695364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>
        <v>4.7619047619047672E-2</v>
      </c>
      <c r="U1537" s="1116">
        <v>4.7619047619047672E-2</v>
      </c>
      <c r="V1537" s="1116">
        <v>-4.7619047619047672E-2</v>
      </c>
      <c r="W1537" s="1116">
        <v>-0.14285714285714285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>
        <v>1.9867549668874274E-2</v>
      </c>
      <c r="AQ1537" s="1116">
        <v>1.9867549668874274E-2</v>
      </c>
      <c r="AR1537" s="1116">
        <v>6.6225165562914245E-3</v>
      </c>
      <c r="AS1537" s="1116">
        <v>1.9867549668874274E-2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>
        <v>0.14285714285714279</v>
      </c>
      <c r="U1538" s="1116">
        <v>0.14285714285714279</v>
      </c>
      <c r="V1538" s="1116">
        <v>0.14285714285714279</v>
      </c>
      <c r="W1538" s="1116">
        <v>4.7619047619047672E-2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>
        <v>0.13907284768211925</v>
      </c>
      <c r="AQ1538" s="1116">
        <v>0.13907284768211925</v>
      </c>
      <c r="AR1538" s="1116">
        <v>0.1258278145695364</v>
      </c>
      <c r="AS1538" s="1116">
        <v>0.11258278145695355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>
        <v>0.23809523809523814</v>
      </c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>
        <v>8.6092715231788075E-2</v>
      </c>
      <c r="AQ1539" s="1116">
        <v>8.6092715231788075E-2</v>
      </c>
      <c r="AR1539" s="1116">
        <v>7.2847682119205226E-2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>
        <v>0.33333333333333326</v>
      </c>
      <c r="U1540" s="1116">
        <v>0.33333333333333326</v>
      </c>
      <c r="V1540" s="1116">
        <v>0.4285714285714286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>
        <v>-6.6225165562914245E-3</v>
      </c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>
        <v>0.14285714285714279</v>
      </c>
      <c r="U1541" s="1116">
        <v>0.14285714285714279</v>
      </c>
      <c r="V1541" s="1116">
        <v>0.14285714285714279</v>
      </c>
      <c r="W1541" s="1116">
        <v>4.7619047619047672E-2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>
        <v>0.1258278145695364</v>
      </c>
      <c r="AQ1541" s="1116">
        <v>0.1258278145695364</v>
      </c>
      <c r="AR1541" s="1116">
        <v>0.11258278145695355</v>
      </c>
      <c r="AS1541" s="1116">
        <v>0.1258278145695364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>
        <v>-0.33333333333333343</v>
      </c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>
        <v>-0.11258278145695361</v>
      </c>
      <c r="AQ1542" s="1116">
        <v>-0.11258278145695361</v>
      </c>
      <c r="AR1542" s="1116">
        <v>-0.1258278145695364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>
        <v>-0.14285714285714285</v>
      </c>
      <c r="U1543" s="1116">
        <v>-0.14285714285714285</v>
      </c>
      <c r="V1543" s="1116">
        <v>-4.7619047619047672E-2</v>
      </c>
      <c r="W1543" s="1116">
        <v>-0.14285714285714285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>
        <v>-0.17880794701986757</v>
      </c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>
        <v>4.7619047619047672E-2</v>
      </c>
      <c r="U1544" s="1116">
        <v>4.7619047619047672E-2</v>
      </c>
      <c r="V1544" s="1116">
        <v>0.14285714285714279</v>
      </c>
      <c r="W1544" s="1116">
        <v>0.23809523809523814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>
        <v>-0.2185430463576159</v>
      </c>
      <c r="AQ1544" s="1116">
        <v>-0.2185430463576159</v>
      </c>
      <c r="AR1544" s="1116">
        <v>-0.19205298013245026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>
        <v>-0.4285714285714286</v>
      </c>
      <c r="U1545" s="1116">
        <v>-0.4285714285714286</v>
      </c>
      <c r="V1545" s="1116">
        <v>-0.23809523809523814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>
        <v>-0.15231788079470204</v>
      </c>
      <c r="AQ1545" s="1116">
        <v>-0.15231788079470204</v>
      </c>
      <c r="AR1545" s="1116">
        <v>-0.13907284768211925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>
        <v>0.23809523809523814</v>
      </c>
      <c r="U1546" s="1116">
        <v>0.23809523809523814</v>
      </c>
      <c r="V1546" s="1116">
        <v>0.23809523809523814</v>
      </c>
      <c r="W1546" s="1116">
        <v>0.33333333333333326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>
        <v>0.13907284768211925</v>
      </c>
      <c r="AQ1546" s="1116">
        <v>0.13907284768211925</v>
      </c>
      <c r="AR1546" s="1116">
        <v>0.15231788079470188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>
        <v>-0.23809523809523814</v>
      </c>
      <c r="U1547" s="1116">
        <v>-0.23809523809523814</v>
      </c>
      <c r="V1547" s="1116">
        <v>-0.14285714285714285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>
        <v>0.19205298013245042</v>
      </c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>
        <v>0.23809523809523814</v>
      </c>
      <c r="U1548" s="1116">
        <v>0.23809523809523814</v>
      </c>
      <c r="V1548" s="1116">
        <v>0.14285714285714279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>
        <v>-0.23178807947019869</v>
      </c>
      <c r="AQ1548" s="1116">
        <v>-0.23178807947019869</v>
      </c>
      <c r="AR1548" s="1116">
        <v>-0.2185430463576159</v>
      </c>
      <c r="AS1548" s="1116">
        <v>-0.20529801324503311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>
        <v>0.23809523809523814</v>
      </c>
      <c r="U1549" s="1116">
        <v>0.23809523809523814</v>
      </c>
      <c r="V1549" s="1116">
        <v>0.14285714285714279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>
        <v>0.20529801324503305</v>
      </c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>
        <v>-0.14285714285714285</v>
      </c>
      <c r="U1550" s="1116">
        <v>-0.14285714285714285</v>
      </c>
      <c r="V1550" s="1116">
        <v>4.7619047619047672E-2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>
        <v>4.635761589403975E-2</v>
      </c>
      <c r="AQ1550" s="1116">
        <v>4.635761589403975E-2</v>
      </c>
      <c r="AR1550" s="1116">
        <v>1.9867549668874274E-2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>
        <v>-4.7619047619047672E-2</v>
      </c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-0.14285714285714285</v>
      </c>
      <c r="Z1551" s="1116">
        <f ca="1">_xlfn.XLOOKUP(A1452,TabCalc[Ticker],TabCalc[Imp20])</f>
        <v>-0.14285714285714285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>
        <v>7.2847682119205226E-2</v>
      </c>
      <c r="AQ1551" s="1116">
        <v>7.2847682119205226E-2</v>
      </c>
      <c r="AR1551" s="1116">
        <v>8.6092715231788075E-2</v>
      </c>
      <c r="AS1551" s="1116">
        <v>7.2847682119205226E-2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>
        <v>-0.14285714285714285</v>
      </c>
      <c r="U1552" s="1116">
        <v>-0.14285714285714285</v>
      </c>
      <c r="V1552" s="1116">
        <v>-0.23809523809523814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>
        <v>-7.2847682119205392E-2</v>
      </c>
      <c r="AQ1552" s="1116">
        <v>-7.2847682119205392E-2</v>
      </c>
      <c r="AR1552" s="1116">
        <v>-7.2847682119205392E-2</v>
      </c>
      <c r="AS1552" s="1116">
        <v>-8.6092715231788075E-2</v>
      </c>
      <c r="AT1552" s="1116">
        <v>-8.6092715231788075E-2</v>
      </c>
      <c r="AU1552" s="1116">
        <v>-9.9337748344370758E-2</v>
      </c>
      <c r="AV1552" s="1116">
        <f ca="1">_xlfn.XLOOKUP(A1452,TabCalc[Ticker],TabCalc[Imp150])</f>
        <v>-9.9337748344370758E-2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>
        <v>4.7619047619047672E-2</v>
      </c>
      <c r="U1553" s="1116">
        <v>4.7619047619047672E-2</v>
      </c>
      <c r="V1553" s="1116">
        <v>-0.14285714285714285</v>
      </c>
      <c r="W1553" s="1116">
        <v>-0.23809523809523814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>
        <v>-0.19205298013245026</v>
      </c>
      <c r="AQ1553" s="1116">
        <v>-0.19205298013245026</v>
      </c>
      <c r="AR1553" s="1116">
        <v>-0.20529801324503311</v>
      </c>
      <c r="AS1553" s="1116">
        <v>-0.19205298013245026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>
        <v>0.23809523809523814</v>
      </c>
      <c r="U1554" s="1116">
        <v>0.23809523809523814</v>
      </c>
      <c r="V1554" s="1116">
        <v>0.14285714285714279</v>
      </c>
      <c r="W1554" s="1116">
        <v>0.23809523809523814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>
        <v>4.635761589403975E-2</v>
      </c>
      <c r="AQ1554" s="1116">
        <v>4.635761589403975E-2</v>
      </c>
      <c r="AR1554" s="1116">
        <v>3.3112582781456901E-2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>
        <v>0.33333333333333326</v>
      </c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0.23809523809523814</v>
      </c>
      <c r="Z1555" s="1116">
        <f ca="1">_xlfn.XLOOKUP(A1456,TabCalc[Ticker],TabCalc[Imp20])</f>
        <v>0.23809523809523814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>
        <v>6.6225165562914245E-3</v>
      </c>
      <c r="AQ1555" s="1116">
        <v>6.6225165562914245E-3</v>
      </c>
      <c r="AR1555" s="1116">
        <v>1.9867549668874274E-2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>
        <v>-0.14285714285714285</v>
      </c>
      <c r="U1556" s="1116">
        <v>-0.14285714285714285</v>
      </c>
      <c r="V1556" s="1116">
        <v>-4.7619047619047672E-2</v>
      </c>
      <c r="W1556" s="1116">
        <v>-1</v>
      </c>
      <c r="X1556" s="1116">
        <v>-4.7619047619047672E-2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>
        <v>-1.9867549668874107E-2</v>
      </c>
      <c r="AQ1556" s="1116">
        <v>-1.9867549668874107E-2</v>
      </c>
      <c r="AR1556" s="1116">
        <v>-6.6225165562914245E-3</v>
      </c>
      <c r="AS1556" s="1116">
        <v>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>
        <v>-0.14285714285714285</v>
      </c>
      <c r="U1557" s="1116">
        <v>-0.14285714285714285</v>
      </c>
      <c r="V1557" s="1116">
        <v>-4.7619047619047672E-2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>
        <v>-0.2185430463576159</v>
      </c>
      <c r="AQ1557" s="1116">
        <v>-0.2185430463576159</v>
      </c>
      <c r="AR1557" s="1116">
        <v>-0.19205298013245026</v>
      </c>
      <c r="AS1557" s="1116">
        <v>-1</v>
      </c>
      <c r="AT1557" s="1116">
        <v>-0.19205298013245026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>
        <v>4.7619047619047672E-2</v>
      </c>
      <c r="U1558" s="1116">
        <v>4.7619047619047672E-2</v>
      </c>
      <c r="V1558" s="1116">
        <v>4.7619047619047672E-2</v>
      </c>
      <c r="W1558" s="1116">
        <v>-4.7619047619047672E-2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>
        <v>-4.635761589403975E-2</v>
      </c>
      <c r="AQ1558" s="1116">
        <v>-4.635761589403975E-2</v>
      </c>
      <c r="AR1558" s="1116">
        <v>-5.9602649006622543E-2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>
        <v>0.4285714285714286</v>
      </c>
      <c r="U1559" s="1116">
        <v>0.4285714285714286</v>
      </c>
      <c r="V1559" s="1116">
        <v>0.52380952380952372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>
        <v>8.6092715231788075E-2</v>
      </c>
      <c r="AQ1559" s="1116">
        <v>8.6092715231788075E-2</v>
      </c>
      <c r="AR1559" s="1116">
        <v>9.9337748344370924E-2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>
        <v>-0.23809523809523814</v>
      </c>
      <c r="U1560" s="1116">
        <v>-0.23809523809523814</v>
      </c>
      <c r="V1560" s="1116">
        <v>-0.14285714285714285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>
        <v>0.17880794701986757</v>
      </c>
      <c r="AQ1560" s="1116">
        <v>0.17880794701986757</v>
      </c>
      <c r="AR1560" s="1116">
        <v>0.19205298013245042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>
        <v>-4.7619047619047672E-2</v>
      </c>
      <c r="U1561" s="1116">
        <v>-4.7619047619047672E-2</v>
      </c>
      <c r="V1561" s="1116">
        <v>4.7619047619047672E-2</v>
      </c>
      <c r="W1561" s="1116">
        <v>0.14285714285714279</v>
      </c>
      <c r="X1561" s="1116">
        <v>4.7619047619047672E-2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>
        <v>-7.2847682119205392E-2</v>
      </c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>
        <v>0.23809523809523814</v>
      </c>
      <c r="U1562" s="1116">
        <v>0.23809523809523814</v>
      </c>
      <c r="V1562" s="1116">
        <v>0.23809523809523814</v>
      </c>
      <c r="W1562" s="1116">
        <v>0.33333333333333326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>
        <v>-4.635761589403975E-2</v>
      </c>
      <c r="AQ1562" s="1116">
        <v>-4.635761589403975E-2</v>
      </c>
      <c r="AR1562" s="1116">
        <v>-5.9602649006622543E-2</v>
      </c>
      <c r="AS1562" s="1116">
        <v>-4.635761589403975E-2</v>
      </c>
      <c r="AT1562" s="1116">
        <v>-4.635761589403975E-2</v>
      </c>
      <c r="AU1562" s="1116">
        <v>-3.3112582781456901E-2</v>
      </c>
      <c r="AV1562" s="1116">
        <f ca="1">_xlfn.XLOOKUP(A1462,TabCalc[Ticker],TabCalc[Imp150])</f>
        <v>-3.3112582781456901E-2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>
        <v>-0.14285714285714285</v>
      </c>
      <c r="U1563" s="1116">
        <v>-0.14285714285714285</v>
      </c>
      <c r="V1563" s="1116">
        <v>-0.23809523809523814</v>
      </c>
      <c r="W1563" s="1116">
        <v>-0.14285714285714285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>
        <v>0.19205298013245042</v>
      </c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>
        <v>0.23809523809523814</v>
      </c>
      <c r="U1564" s="1116">
        <v>0.23809523809523814</v>
      </c>
      <c r="V1564" s="1116">
        <v>-1</v>
      </c>
      <c r="W1564" s="1116">
        <v>4.7619047619047672E-2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>
        <v>-6.6225165562914245E-3</v>
      </c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>
        <v>0.23809523809523814</v>
      </c>
      <c r="U1565" s="1116">
        <v>0.23809523809523814</v>
      </c>
      <c r="V1565" s="1116">
        <v>0.14285714285714279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>
        <v>9.9337748344370924E-2</v>
      </c>
      <c r="AQ1565" s="1116">
        <v>9.9337748344370924E-2</v>
      </c>
      <c r="AR1565" s="1116">
        <v>-1</v>
      </c>
      <c r="AS1565" s="1116">
        <v>9.9337748344370924E-2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>
        <v>-0.23809523809523814</v>
      </c>
      <c r="U1566" s="1116">
        <v>-0.23809523809523814</v>
      </c>
      <c r="V1566" s="1116">
        <v>-4.7619047619047672E-2</v>
      </c>
      <c r="W1566" s="1116">
        <v>-0.14285714285714285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>
        <v>0.20529801324503305</v>
      </c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>
        <v>4.7619047619047672E-2</v>
      </c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>
        <v>-4.635761589403975E-2</v>
      </c>
      <c r="AQ1567" s="1116">
        <v>-4.635761589403975E-2</v>
      </c>
      <c r="AR1567" s="1116">
        <v>-3.3112582781456901E-2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>
        <v>-0.23809523809523814</v>
      </c>
      <c r="U1568" s="1116">
        <v>-0.23809523809523814</v>
      </c>
      <c r="V1568" s="1116">
        <v>-0.23809523809523814</v>
      </c>
      <c r="W1568" s="1116">
        <v>-0.33333333333333343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>
        <v>9.9337748344370924E-2</v>
      </c>
      <c r="AQ1568" s="1116">
        <v>9.9337748344370924E-2</v>
      </c>
      <c r="AR1568" s="1116">
        <v>9.9337748344370924E-2</v>
      </c>
      <c r="AS1568" s="1116">
        <v>0.11258278145695355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>
        <v>-0.23809523809523814</v>
      </c>
      <c r="U1569" s="1116">
        <v>-0.23809523809523814</v>
      </c>
      <c r="V1569" s="1116">
        <v>-4.7619047619047672E-2</v>
      </c>
      <c r="W1569" s="1116">
        <v>-0.14285714285714285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>
        <v>-0.15231788079470204</v>
      </c>
      <c r="AQ1569" s="1116">
        <v>-0.15231788079470204</v>
      </c>
      <c r="AR1569" s="1116">
        <v>-0.15231788079470204</v>
      </c>
      <c r="AS1569" s="1116">
        <v>-0.16556291390728473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>
        <v>0.14285714285714279</v>
      </c>
      <c r="U1570" s="1116">
        <v>0.14285714285714279</v>
      </c>
      <c r="V1570" s="1116">
        <v>0.14285714285714279</v>
      </c>
      <c r="W1570" s="1116">
        <v>4.7619047619047672E-2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>
        <v>4.635761589403975E-2</v>
      </c>
      <c r="AQ1570" s="1116">
        <v>4.635761589403975E-2</v>
      </c>
      <c r="AR1570" s="1116">
        <v>7.2847682119205226E-2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>
        <v>4.7619047619047672E-2</v>
      </c>
      <c r="U1571" s="1116">
        <v>4.7619047619047672E-2</v>
      </c>
      <c r="V1571" s="1116">
        <v>-4.7619047619047672E-2</v>
      </c>
      <c r="W1571" s="1116">
        <v>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>
        <v>0.13907284768211925</v>
      </c>
      <c r="AQ1571" s="1116">
        <v>0.13907284768211925</v>
      </c>
      <c r="AR1571" s="1116">
        <v>0.1258278145695364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>
        <v>0.52380952380952372</v>
      </c>
      <c r="U1572" s="1116">
        <v>0.52380952380952372</v>
      </c>
      <c r="V1572" s="1116">
        <v>0.52380952380952372</v>
      </c>
      <c r="W1572" s="1116">
        <v>0.4285714285714286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>
        <v>-0.13907284768211925</v>
      </c>
      <c r="AQ1572" s="1116">
        <v>-0.13907284768211925</v>
      </c>
      <c r="AR1572" s="1116">
        <v>-0.13907284768211925</v>
      </c>
      <c r="AS1572" s="1116">
        <v>-0.1258278145695364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>
        <v>0.23809523809523814</v>
      </c>
      <c r="U1573" s="1116">
        <v>0.23809523809523814</v>
      </c>
      <c r="V1573" s="1116">
        <v>0.14285714285714279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>
        <v>0.15231788079470188</v>
      </c>
      <c r="AQ1573" s="1116">
        <v>0.15231788079470188</v>
      </c>
      <c r="AR1573" s="1116">
        <v>0.13907284768211925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>
        <v>0.33333333333333326</v>
      </c>
      <c r="U1574" s="1116">
        <v>0.33333333333333326</v>
      </c>
      <c r="V1574" s="1116">
        <v>0.23809523809523814</v>
      </c>
      <c r="W1574" s="1116">
        <v>0.14285714285714279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>
        <v>4.635761589403975E-2</v>
      </c>
      <c r="AQ1574" s="1116">
        <v>4.635761589403975E-2</v>
      </c>
      <c r="AR1574" s="1116">
        <v>1.9867549668874274E-2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>
        <v>0.14285714285714279</v>
      </c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>
        <v>3.3112582781456901E-2</v>
      </c>
      <c r="AQ1575" s="1116">
        <v>3.3112582781456901E-2</v>
      </c>
      <c r="AR1575" s="1116">
        <v>1.9867549668874274E-2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>
        <v>-4.7619047619047672E-2</v>
      </c>
      <c r="U1576" s="1116">
        <v>-4.7619047619047672E-2</v>
      </c>
      <c r="V1576" s="1116">
        <v>-4.7619047619047672E-2</v>
      </c>
      <c r="W1576" s="1116">
        <v>-0.14285714285714285</v>
      </c>
      <c r="X1576" s="1116">
        <v>-4.7619047619047672E-2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>
        <v>-6.6225165562914245E-3</v>
      </c>
      <c r="AQ1576" s="1116">
        <v>-6.6225165562914245E-3</v>
      </c>
      <c r="AR1576" s="1116">
        <v>-6.6225165562914245E-3</v>
      </c>
      <c r="AS1576" s="1116">
        <v>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>
        <v>4.7619047619047672E-2</v>
      </c>
      <c r="U1577" s="1116">
        <v>4.7619047619047672E-2</v>
      </c>
      <c r="V1577" s="1116">
        <v>4.7619047619047672E-2</v>
      </c>
      <c r="W1577" s="1116">
        <v>0.14285714285714279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>
        <v>-9.9337748344370758E-2</v>
      </c>
      <c r="AQ1577" s="1116">
        <v>-9.9337748344370758E-2</v>
      </c>
      <c r="AR1577" s="1116">
        <v>-9.9337748344370758E-2</v>
      </c>
      <c r="AS1577" s="1116">
        <v>-0.11258278145695361</v>
      </c>
      <c r="AT1577" s="1116">
        <v>-9.9337748344370758E-2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>
        <v>-0.23809523809523814</v>
      </c>
      <c r="U1578" s="1116">
        <v>-0.23809523809523814</v>
      </c>
      <c r="V1578" s="1116">
        <v>-0.33333333333333343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>
        <v>9.9337748344370924E-2</v>
      </c>
      <c r="AQ1578" s="1116">
        <v>9.9337748344370924E-2</v>
      </c>
      <c r="AR1578" s="1116">
        <v>8.6092715231788075E-2</v>
      </c>
      <c r="AS1578" s="1116">
        <v>9.9337748344370924E-2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>
        <v>0.4285714285714286</v>
      </c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>
        <v>8.6092715231788075E-2</v>
      </c>
      <c r="AQ1579" s="1116">
        <v>8.6092715231788075E-2</v>
      </c>
      <c r="AR1579" s="1116">
        <v>7.2847682119205226E-2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>
        <v>-0.4285714285714286</v>
      </c>
      <c r="U1580" s="1116">
        <v>-0.4285714285714286</v>
      </c>
      <c r="V1580" s="1116">
        <v>-0.52380952380952372</v>
      </c>
      <c r="W1580" s="1116">
        <v>-0.4285714285714286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>
        <v>0.16556291390728473</v>
      </c>
      <c r="AQ1580" s="1116">
        <v>0.16556291390728473</v>
      </c>
      <c r="AR1580" s="1116">
        <v>0.16556291390728473</v>
      </c>
      <c r="AS1580" s="1116">
        <v>0.17880794701986757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>
        <v>-1</v>
      </c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>
        <v>6.6225165562914245E-3</v>
      </c>
      <c r="AQ1581" s="1116">
        <v>6.6225165562914245E-3</v>
      </c>
      <c r="AR1581" s="1116">
        <v>-6.6225165562914245E-3</v>
      </c>
      <c r="AS1581" s="1116">
        <v>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>
        <v>-1</v>
      </c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>
        <v>-1</v>
      </c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45887</v>
      </c>
      <c r="G1587" s="63">
        <f t="shared" si="106"/>
        <v>45888</v>
      </c>
      <c r="H1587" s="63">
        <f t="shared" si="106"/>
        <v>45889</v>
      </c>
      <c r="I1587" s="63">
        <f t="shared" si="106"/>
        <v>45890</v>
      </c>
      <c r="J1587" s="63">
        <f t="shared" si="106"/>
        <v>45891</v>
      </c>
      <c r="K1587" s="63">
        <f t="shared" si="106"/>
        <v>45894</v>
      </c>
      <c r="L1587" s="63">
        <f t="shared" si="106"/>
        <v>45895</v>
      </c>
      <c r="M1587" s="63">
        <f t="shared" si="106"/>
        <v>45896</v>
      </c>
      <c r="N1587" s="63">
        <f t="shared" si="106"/>
        <v>45897</v>
      </c>
      <c r="O1587" s="63">
        <f t="shared" si="106"/>
        <v>45898</v>
      </c>
      <c r="P1587" s="63">
        <f t="shared" si="106"/>
        <v>45901</v>
      </c>
      <c r="Q1587" s="63">
        <f t="shared" si="106"/>
        <v>45902</v>
      </c>
      <c r="R1587" s="63">
        <f t="shared" si="106"/>
        <v>45903</v>
      </c>
      <c r="S1587" s="63">
        <f t="shared" si="106"/>
        <v>45904</v>
      </c>
      <c r="T1587" s="63">
        <f t="shared" si="106"/>
        <v>45905</v>
      </c>
      <c r="U1587" s="63">
        <f t="shared" si="106"/>
        <v>45908</v>
      </c>
      <c r="V1587" s="63">
        <f t="shared" si="106"/>
        <v>45909</v>
      </c>
      <c r="W1587" s="63">
        <f t="shared" si="106"/>
        <v>45910</v>
      </c>
      <c r="X1587" s="63">
        <f t="shared" si="106"/>
        <v>45911</v>
      </c>
      <c r="Y1587" s="63">
        <f t="shared" si="106"/>
        <v>45912</v>
      </c>
      <c r="Z1587" s="63">
        <f t="shared" ca="1" si="106"/>
        <v>45912</v>
      </c>
      <c r="AB1587" s="63">
        <f t="shared" ref="AB1587:AV1587" si="107">AB1489</f>
        <v>45887</v>
      </c>
      <c r="AC1587" s="63">
        <f t="shared" si="107"/>
        <v>45888</v>
      </c>
      <c r="AD1587" s="63">
        <f t="shared" si="107"/>
        <v>45889</v>
      </c>
      <c r="AE1587" s="63">
        <f t="shared" si="107"/>
        <v>45890</v>
      </c>
      <c r="AF1587" s="63">
        <f t="shared" si="107"/>
        <v>45891</v>
      </c>
      <c r="AG1587" s="63">
        <f t="shared" si="107"/>
        <v>45894</v>
      </c>
      <c r="AH1587" s="63">
        <f t="shared" si="107"/>
        <v>45895</v>
      </c>
      <c r="AI1587" s="63">
        <f t="shared" si="107"/>
        <v>45896</v>
      </c>
      <c r="AJ1587" s="63">
        <f t="shared" si="107"/>
        <v>45897</v>
      </c>
      <c r="AK1587" s="63">
        <f t="shared" si="107"/>
        <v>45898</v>
      </c>
      <c r="AL1587" s="63">
        <f t="shared" si="107"/>
        <v>45901</v>
      </c>
      <c r="AM1587" s="63">
        <f t="shared" si="107"/>
        <v>45902</v>
      </c>
      <c r="AN1587" s="63">
        <f t="shared" si="107"/>
        <v>45903</v>
      </c>
      <c r="AO1587" s="63">
        <f t="shared" si="107"/>
        <v>45904</v>
      </c>
      <c r="AP1587" s="63">
        <f t="shared" si="107"/>
        <v>45905</v>
      </c>
      <c r="AQ1587" s="63">
        <f t="shared" si="107"/>
        <v>45908</v>
      </c>
      <c r="AR1587" s="63">
        <f t="shared" si="107"/>
        <v>45909</v>
      </c>
      <c r="AS1587" s="63">
        <f t="shared" si="107"/>
        <v>45910</v>
      </c>
      <c r="AT1587" s="63">
        <f t="shared" si="107"/>
        <v>45911</v>
      </c>
      <c r="AU1587" s="63">
        <f t="shared" si="107"/>
        <v>45912</v>
      </c>
      <c r="AV1587" s="63">
        <f t="shared" ca="1" si="107"/>
        <v>45912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>
        <v>9.5238095238095344E-2</v>
      </c>
      <c r="U1589" s="1116">
        <v>0.14285714285714302</v>
      </c>
      <c r="V1589" s="1116">
        <v>-0.19047619047619035</v>
      </c>
      <c r="W1589" s="1116">
        <v>0.13832199546485263</v>
      </c>
      <c r="X1589" s="1116">
        <v>0.19501133786848077</v>
      </c>
      <c r="Y1589" s="1116">
        <v>0.2517006802721089</v>
      </c>
      <c r="Z1589" s="1116">
        <f t="shared" ref="Z1589:Z1620" ca="1" si="108">SUMPRODUCT(F1490:Z1490,F1490:Z1490)</f>
        <v>0.2517006802721089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>
        <v>9.27152317880795E-2</v>
      </c>
      <c r="AQ1589" s="1116">
        <v>0.13907284768211925</v>
      </c>
      <c r="AR1589" s="1116">
        <v>0.1589403973509933</v>
      </c>
      <c r="AS1589" s="1116">
        <v>7.5873865181351622E-3</v>
      </c>
      <c r="AT1589" s="1116">
        <v>8.6838296565939985E-3</v>
      </c>
      <c r="AU1589" s="1116">
        <v>9.7802727950528339E-3</v>
      </c>
      <c r="AV1589" s="1116">
        <f t="shared" ref="AV1589:AV1620" ca="1" si="109">SUMPRODUCT(AB1491:AV1491,AB1491:AV1491)</f>
        <v>9.7802727950528339E-3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>
        <v>0.28571428571428559</v>
      </c>
      <c r="U1590" s="1116">
        <v>0.42857142857142838</v>
      </c>
      <c r="V1590" s="1116">
        <v>0.57142857142857117</v>
      </c>
      <c r="W1590" s="1116">
        <v>6.575963718820857E-2</v>
      </c>
      <c r="X1590" s="1116">
        <v>6.8027210884353706E-2</v>
      </c>
      <c r="Y1590" s="1116">
        <v>7.0294784580498842E-2</v>
      </c>
      <c r="Z1590" s="1116">
        <f t="shared" ca="1" si="108"/>
        <v>7.0294784580498842E-2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>
        <v>-9.27152317880795E-2</v>
      </c>
      <c r="AQ1590" s="1116">
        <v>-0.13907284768211925</v>
      </c>
      <c r="AR1590" s="1116">
        <v>-0.185430463576159</v>
      </c>
      <c r="AS1590" s="1116">
        <v>1.0745142756896633E-2</v>
      </c>
      <c r="AT1590" s="1116">
        <v>1.289417130827596E-2</v>
      </c>
      <c r="AU1590" s="1116">
        <v>1.5043199859655286E-2</v>
      </c>
      <c r="AV1590" s="1116">
        <f t="shared" ca="1" si="109"/>
        <v>1.5043199859655286E-2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>
        <v>-9.5238095238095344E-2</v>
      </c>
      <c r="U1591" s="1116">
        <v>-0.14285714285714302</v>
      </c>
      <c r="V1591" s="1116">
        <v>-0.19047619047619069</v>
      </c>
      <c r="W1591" s="1116">
        <v>1.1337868480725648E-2</v>
      </c>
      <c r="X1591" s="1116">
        <v>1.3605442176870777E-2</v>
      </c>
      <c r="Y1591" s="1116">
        <v>1.5873015873015907E-2</v>
      </c>
      <c r="Z1591" s="1116">
        <f t="shared" ca="1" si="108"/>
        <v>1.5873015873015907E-2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>
        <v>-0.38410596026490051</v>
      </c>
      <c r="AQ1591" s="1116">
        <v>-0.57615894039735083</v>
      </c>
      <c r="AR1591" s="1116">
        <v>-0.76821192052980103</v>
      </c>
      <c r="AS1591" s="1116">
        <v>0.19494759001798159</v>
      </c>
      <c r="AT1591" s="1116">
        <v>0.23709486426033938</v>
      </c>
      <c r="AU1591" s="1116">
        <v>0.27924213850269719</v>
      </c>
      <c r="AV1591" s="1116">
        <f t="shared" ca="1" si="109"/>
        <v>0.27924213850269719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>
        <v>0.47619047619047628</v>
      </c>
      <c r="U1592" s="1116">
        <v>0.71428571428571441</v>
      </c>
      <c r="V1592" s="1116">
        <v>0.76190476190476186</v>
      </c>
      <c r="W1592" s="1116">
        <v>0.24716553287981863</v>
      </c>
      <c r="X1592" s="1116">
        <v>0.30385487528344679</v>
      </c>
      <c r="Y1592" s="1116">
        <v>0.3605442176870749</v>
      </c>
      <c r="Z1592" s="1116">
        <f t="shared" ca="1" si="108"/>
        <v>0.3605442176870749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>
        <v>1.3245033112582849E-2</v>
      </c>
      <c r="AQ1592" s="1116">
        <v>1.9867549668874274E-2</v>
      </c>
      <c r="AR1592" s="1116">
        <v>5.2980132450331396E-2</v>
      </c>
      <c r="AS1592" s="1116">
        <v>1.2718740406122667E-3</v>
      </c>
      <c r="AT1592" s="1116">
        <v>1.666593570457453E-3</v>
      </c>
      <c r="AU1592" s="1116">
        <v>2.0613131003026394E-3</v>
      </c>
      <c r="AV1592" s="1116">
        <f t="shared" ca="1" si="109"/>
        <v>2.0613131003026394E-3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>
        <v>-0.66666666666666685</v>
      </c>
      <c r="U1593" s="1116">
        <v>-1.0000000000000002</v>
      </c>
      <c r="V1593" s="1116">
        <v>-1.3333333333333337</v>
      </c>
      <c r="W1593" s="1116">
        <v>0.55555555555555591</v>
      </c>
      <c r="X1593" s="1116">
        <v>0.66666666666666707</v>
      </c>
      <c r="Y1593" s="1116">
        <v>0.77777777777777823</v>
      </c>
      <c r="Z1593" s="1116">
        <f t="shared" ca="1" si="108"/>
        <v>0.77777777777777823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>
        <v>-0.35761589403973515</v>
      </c>
      <c r="AQ1593" s="1116">
        <v>-0.53642384105960272</v>
      </c>
      <c r="AR1593" s="1116">
        <v>-0.7152317880794703</v>
      </c>
      <c r="AS1593" s="1116">
        <v>0.15986140958729883</v>
      </c>
      <c r="AT1593" s="1116">
        <v>0.1918336915047586</v>
      </c>
      <c r="AU1593" s="1116">
        <v>0.22380597342221836</v>
      </c>
      <c r="AV1593" s="1116">
        <f t="shared" ca="1" si="109"/>
        <v>0.22380597342221836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>
        <v>0.66666666666666652</v>
      </c>
      <c r="U1594" s="1116">
        <v>0.99999999999999978</v>
      </c>
      <c r="V1594" s="1116">
        <v>1.333333333333333</v>
      </c>
      <c r="W1594" s="1116">
        <v>0.55555555555555536</v>
      </c>
      <c r="X1594" s="1116">
        <v>0.66666666666666641</v>
      </c>
      <c r="Y1594" s="1116">
        <v>0.66893424036281157</v>
      </c>
      <c r="Z1594" s="1116">
        <f t="shared" ca="1" si="108"/>
        <v>0.66893424036281157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>
        <v>-3.9735099337748214E-2</v>
      </c>
      <c r="AQ1594" s="1116">
        <v>-5.9602649006622321E-2</v>
      </c>
      <c r="AR1594" s="1116">
        <v>-5.2980132450331063E-2</v>
      </c>
      <c r="AS1594" s="1116">
        <v>9.2101223630542133E-4</v>
      </c>
      <c r="AT1594" s="1116">
        <v>9.6486996184377534E-4</v>
      </c>
      <c r="AU1594" s="1116">
        <v>1.0087276873821294E-3</v>
      </c>
      <c r="AV1594" s="1116">
        <f t="shared" ca="1" si="109"/>
        <v>1.0087276873821294E-3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>
        <v>0.47619047619047628</v>
      </c>
      <c r="U1595" s="1116">
        <v>0.71428571428571441</v>
      </c>
      <c r="V1595" s="1116">
        <v>0.95238095238095255</v>
      </c>
      <c r="W1595" s="1116">
        <v>0.28344671201814065</v>
      </c>
      <c r="X1595" s="1116">
        <v>0.34013605442176875</v>
      </c>
      <c r="Y1595" s="1116">
        <v>0.39682539682539686</v>
      </c>
      <c r="Z1595" s="1116">
        <f t="shared" ca="1" si="108"/>
        <v>0.39682539682539686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>
        <v>1.3245033112582849E-2</v>
      </c>
      <c r="AQ1595" s="1116">
        <v>1.9867549668874274E-2</v>
      </c>
      <c r="AR1595" s="1116">
        <v>0</v>
      </c>
      <c r="AS1595" s="1116">
        <v>2.1928862769177013E-4</v>
      </c>
      <c r="AT1595" s="1116">
        <v>2.6314635323012415E-4</v>
      </c>
      <c r="AU1595" s="1116">
        <v>3.0700407876847817E-4</v>
      </c>
      <c r="AV1595" s="1116">
        <f t="shared" ca="1" si="109"/>
        <v>3.0700407876847817E-4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>
        <v>-0.66666666666666685</v>
      </c>
      <c r="U1596" s="1116">
        <v>-1.0000000000000002</v>
      </c>
      <c r="V1596" s="1116">
        <v>-1.3333333333333337</v>
      </c>
      <c r="W1596" s="1116">
        <v>0.55555555555555591</v>
      </c>
      <c r="X1596" s="1116">
        <v>0.55782312925170097</v>
      </c>
      <c r="Y1596" s="1116">
        <v>0.61451247165532907</v>
      </c>
      <c r="Z1596" s="1116">
        <f t="shared" ca="1" si="108"/>
        <v>0.61451247165532907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>
        <v>-0.17218543046357615</v>
      </c>
      <c r="AQ1596" s="1116">
        <v>-0.25827814569536423</v>
      </c>
      <c r="AR1596" s="1116">
        <v>-0.3443708609271523</v>
      </c>
      <c r="AS1596" s="1116">
        <v>3.7059778079908776E-2</v>
      </c>
      <c r="AT1596" s="1116">
        <v>4.0261392044208609E-2</v>
      </c>
      <c r="AU1596" s="1116">
        <v>4.5568176834349404E-2</v>
      </c>
      <c r="AV1596" s="1116">
        <f t="shared" ca="1" si="109"/>
        <v>4.5568176834349404E-2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>
        <v>-0.85714285714285721</v>
      </c>
      <c r="U1597" s="1116">
        <v>-1.2857142857142858</v>
      </c>
      <c r="V1597" s="1116">
        <v>-1.5238095238095242</v>
      </c>
      <c r="W1597" s="1116">
        <v>0.70068027210884376</v>
      </c>
      <c r="X1597" s="1116">
        <v>0.81179138321995492</v>
      </c>
      <c r="Y1597" s="1116">
        <v>0.92290249433106608</v>
      </c>
      <c r="Z1597" s="1116">
        <f t="shared" ca="1" si="108"/>
        <v>0.92290249433106608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>
        <v>-0.35761589403973515</v>
      </c>
      <c r="AQ1597" s="1116">
        <v>-0.53642384105960272</v>
      </c>
      <c r="AR1597" s="1116">
        <v>-0.6887417218543046</v>
      </c>
      <c r="AS1597" s="1116">
        <v>0.14617779921933247</v>
      </c>
      <c r="AT1597" s="1116">
        <v>0.17358887768080344</v>
      </c>
      <c r="AU1597" s="1116">
        <v>0.20099995614227442</v>
      </c>
      <c r="AV1597" s="1116">
        <f t="shared" ca="1" si="109"/>
        <v>0.20099995614227442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>
        <v>-9.5238095238095344E-2</v>
      </c>
      <c r="U1598" s="1116">
        <v>-0.14285714285714302</v>
      </c>
      <c r="V1598" s="1116">
        <v>-0.19047619047619069</v>
      </c>
      <c r="W1598" s="1116">
        <v>1.1337868480725648E-2</v>
      </c>
      <c r="X1598" s="1116">
        <v>1.3605442176870777E-2</v>
      </c>
      <c r="Y1598" s="1116">
        <v>1.5873015873015907E-2</v>
      </c>
      <c r="Z1598" s="1116">
        <f t="shared" ca="1" si="108"/>
        <v>1.5873015873015907E-2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>
        <v>0.17218543046357615</v>
      </c>
      <c r="AQ1598" s="1116">
        <v>0.25827814569536423</v>
      </c>
      <c r="AR1598" s="1116">
        <v>0.3178807947019866</v>
      </c>
      <c r="AS1598" s="1116">
        <v>3.4954607254067793E-2</v>
      </c>
      <c r="AT1598" s="1116">
        <v>4.236656287004955E-2</v>
      </c>
      <c r="AU1598" s="1116">
        <v>4.9778518486031306E-2</v>
      </c>
      <c r="AV1598" s="1116">
        <f t="shared" ca="1" si="109"/>
        <v>4.9778518486031306E-2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>
        <v>9.5238095238095344E-2</v>
      </c>
      <c r="U1599" s="1116">
        <v>0.14285714285714302</v>
      </c>
      <c r="V1599" s="1116">
        <v>-0.19047619047619035</v>
      </c>
      <c r="W1599" s="1116">
        <v>6.5759637188208625E-2</v>
      </c>
      <c r="X1599" s="1116">
        <v>8.6167800453514742E-2</v>
      </c>
      <c r="Y1599" s="1116">
        <v>0.10657596371882086</v>
      </c>
      <c r="Z1599" s="1116">
        <f t="shared" ca="1" si="108"/>
        <v>0.10657596371882086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>
        <v>0.1192052980132452</v>
      </c>
      <c r="AQ1599" s="1116">
        <v>0.1788079470198678</v>
      </c>
      <c r="AR1599" s="1116">
        <v>0.185430463576159</v>
      </c>
      <c r="AS1599" s="1116">
        <v>1.0394280952589806E-2</v>
      </c>
      <c r="AT1599" s="1116">
        <v>1.1490724091048642E-2</v>
      </c>
      <c r="AU1599" s="1116">
        <v>1.2587167229507477E-2</v>
      </c>
      <c r="AV1599" s="1116">
        <f t="shared" ca="1" si="109"/>
        <v>1.2587167229507477E-2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>
        <v>1.0476190476190474</v>
      </c>
      <c r="U1600" s="1116">
        <v>1.5714285714285712</v>
      </c>
      <c r="V1600" s="1116">
        <v>1.9047619047619047</v>
      </c>
      <c r="W1600" s="1116">
        <v>1.0997732426303852</v>
      </c>
      <c r="X1600" s="1116">
        <v>1.2834467120181403</v>
      </c>
      <c r="Y1600" s="1116">
        <v>1.4671201814058954</v>
      </c>
      <c r="Z1600" s="1116">
        <f t="shared" ca="1" si="108"/>
        <v>1.4671201814058954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>
        <v>0.14569536423841045</v>
      </c>
      <c r="AQ1600" s="1116">
        <v>0.21854304635761568</v>
      </c>
      <c r="AR1600" s="1116">
        <v>0.3178807947019866</v>
      </c>
      <c r="AS1600" s="1116">
        <v>3.7761501688522436E-2</v>
      </c>
      <c r="AT1600" s="1116">
        <v>4.7629489934652006E-2</v>
      </c>
      <c r="AU1600" s="1116">
        <v>5.7497478180781575E-2</v>
      </c>
      <c r="AV1600" s="1116">
        <f t="shared" ca="1" si="109"/>
        <v>5.7497478180781575E-2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>
        <v>-0.2857142857142857</v>
      </c>
      <c r="U1601" s="1116">
        <v>-0.42857142857142855</v>
      </c>
      <c r="V1601" s="1116">
        <v>-0.38095238095238104</v>
      </c>
      <c r="W1601" s="1116">
        <v>8.3900226757369606E-2</v>
      </c>
      <c r="X1601" s="1116">
        <v>0.10430839002267572</v>
      </c>
      <c r="Y1601" s="1116">
        <v>8.8435374149659879E-2</v>
      </c>
      <c r="Z1601" s="1116">
        <f t="shared" ca="1" si="108"/>
        <v>8.8435374149659879E-2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>
        <v>-0.4370860927152318</v>
      </c>
      <c r="AQ1601" s="1116">
        <v>-0.6556291390728477</v>
      </c>
      <c r="AR1601" s="1116">
        <v>-0.8211920529801322</v>
      </c>
      <c r="AS1601" s="1116">
        <v>0.20617516775580014</v>
      </c>
      <c r="AT1601" s="1116">
        <v>0.24305951493355549</v>
      </c>
      <c r="AU1601" s="1116">
        <v>0.27994386211131084</v>
      </c>
      <c r="AV1601" s="1116">
        <f t="shared" ca="1" si="109"/>
        <v>0.27994386211131084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>
        <v>-0.2857142857142857</v>
      </c>
      <c r="U1602" s="1116">
        <v>-0.42857142857142855</v>
      </c>
      <c r="V1602" s="1116">
        <v>-0.38095238095238104</v>
      </c>
      <c r="W1602" s="1116">
        <v>4.761904761904763E-2</v>
      </c>
      <c r="X1602" s="1116">
        <v>4.988662131519276E-2</v>
      </c>
      <c r="Y1602" s="1116">
        <v>5.2154195011337889E-2</v>
      </c>
      <c r="Z1602" s="1116">
        <f t="shared" ca="1" si="108"/>
        <v>5.2154195011337889E-2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>
        <v>-9.27152317880795E-2</v>
      </c>
      <c r="AQ1602" s="1116">
        <v>-0.13907284768211925</v>
      </c>
      <c r="AR1602" s="1116">
        <v>-0.21192052980132459</v>
      </c>
      <c r="AS1602" s="1116">
        <v>1.4955484408578582E-2</v>
      </c>
      <c r="AT1602" s="1116">
        <v>1.8507960177185225E-2</v>
      </c>
      <c r="AU1602" s="1116">
        <v>2.2060435945791868E-2</v>
      </c>
      <c r="AV1602" s="1116">
        <f t="shared" ca="1" si="109"/>
        <v>2.2060435945791868E-2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>
        <v>9.5238095238095344E-2</v>
      </c>
      <c r="U1603" s="1116">
        <v>0.14285714285714302</v>
      </c>
      <c r="V1603" s="1116">
        <v>0.38095238095238093</v>
      </c>
      <c r="W1603" s="1116">
        <v>0.13832199546485263</v>
      </c>
      <c r="X1603" s="1116">
        <v>0.19501133786848077</v>
      </c>
      <c r="Y1603" s="1116">
        <v>0.2517006802721089</v>
      </c>
      <c r="Z1603" s="1116">
        <f t="shared" ca="1" si="108"/>
        <v>0.2517006802721089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>
        <v>-0.30463576158940409</v>
      </c>
      <c r="AQ1603" s="1116">
        <v>-0.45695364238410613</v>
      </c>
      <c r="AR1603" s="1116">
        <v>-0.58278145695364258</v>
      </c>
      <c r="AS1603" s="1116">
        <v>0.10442524450681995</v>
      </c>
      <c r="AT1603" s="1116">
        <v>0.12376650146923389</v>
      </c>
      <c r="AU1603" s="1116">
        <v>0.14310775843164783</v>
      </c>
      <c r="AV1603" s="1116">
        <f t="shared" ca="1" si="109"/>
        <v>0.14310775843164783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>
        <v>-9.5238095238095344E-2</v>
      </c>
      <c r="U1604" s="1116">
        <v>-0.14285714285714302</v>
      </c>
      <c r="V1604" s="1116">
        <v>0</v>
      </c>
      <c r="W1604" s="1116">
        <v>1.1337868480725648E-2</v>
      </c>
      <c r="X1604" s="1116">
        <v>1.3605442176870777E-2</v>
      </c>
      <c r="Y1604" s="1116">
        <v>1.5873015873015907E-2</v>
      </c>
      <c r="Z1604" s="1116">
        <f t="shared" ca="1" si="108"/>
        <v>1.5873015873015907E-2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>
        <v>3.9735099337748547E-2</v>
      </c>
      <c r="AQ1604" s="1116">
        <v>5.9602649006622821E-2</v>
      </c>
      <c r="AR1604" s="1116">
        <v>5.2980132450331396E-2</v>
      </c>
      <c r="AS1604" s="1116">
        <v>1.6227358449190992E-3</v>
      </c>
      <c r="AT1604" s="1116">
        <v>2.0174553747642856E-3</v>
      </c>
      <c r="AU1604" s="1116">
        <v>2.412174904609472E-3</v>
      </c>
      <c r="AV1604" s="1116">
        <f t="shared" ca="1" si="109"/>
        <v>2.412174904609472E-3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>
        <v>9.5238095238095344E-2</v>
      </c>
      <c r="U1605" s="1116">
        <v>0.14285714285714302</v>
      </c>
      <c r="V1605" s="1116">
        <v>0.19047619047619069</v>
      </c>
      <c r="W1605" s="1116">
        <v>1.1337868480725648E-2</v>
      </c>
      <c r="X1605" s="1116">
        <v>1.3605442176870777E-2</v>
      </c>
      <c r="Y1605" s="1116">
        <v>1.5873015873015907E-2</v>
      </c>
      <c r="Z1605" s="1116">
        <f t="shared" ca="1" si="108"/>
        <v>1.5873015873015907E-2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>
        <v>-0.14569536423841078</v>
      </c>
      <c r="AQ1605" s="1116">
        <v>-0.21854304635761618</v>
      </c>
      <c r="AR1605" s="1116">
        <v>-0.29139072847682157</v>
      </c>
      <c r="AS1605" s="1116">
        <v>3.0744265602385905E-2</v>
      </c>
      <c r="AT1605" s="1116">
        <v>3.8156221218367661E-2</v>
      </c>
      <c r="AU1605" s="1116">
        <v>4.5568176834349418E-2</v>
      </c>
      <c r="AV1605" s="1116">
        <f t="shared" ca="1" si="109"/>
        <v>4.5568176834349418E-2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>
        <v>-0.85714285714285721</v>
      </c>
      <c r="U1606" s="1116">
        <v>-1.2857142857142858</v>
      </c>
      <c r="V1606" s="1116">
        <v>-1.3333333333333335</v>
      </c>
      <c r="W1606" s="1116">
        <v>0.5374149659863946</v>
      </c>
      <c r="X1606" s="1116">
        <v>0.59410430839002271</v>
      </c>
      <c r="Y1606" s="1116">
        <v>0.65079365079365081</v>
      </c>
      <c r="Z1606" s="1116">
        <f t="shared" ca="1" si="108"/>
        <v>0.65079365079365081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>
        <v>0.2781456953642385</v>
      </c>
      <c r="AQ1606" s="1116">
        <v>0.41721854304635775</v>
      </c>
      <c r="AR1606" s="1116">
        <v>0.58278145695364225</v>
      </c>
      <c r="AS1606" s="1116">
        <v>0.10828472435419492</v>
      </c>
      <c r="AT1606" s="1116">
        <v>0.13148546116398394</v>
      </c>
      <c r="AU1606" s="1116">
        <v>0.15468619797377295</v>
      </c>
      <c r="AV1606" s="1116">
        <f t="shared" ca="1" si="109"/>
        <v>0.15468619797377295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>
        <v>-0.47619047619047628</v>
      </c>
      <c r="U1607" s="1116">
        <v>-0.71428571428571441</v>
      </c>
      <c r="V1607" s="1116">
        <v>-0.76190476190476186</v>
      </c>
      <c r="W1607" s="1116">
        <v>0.17460317460317462</v>
      </c>
      <c r="X1607" s="1116">
        <v>0.19501133786848074</v>
      </c>
      <c r="Y1607" s="1116">
        <v>0.21541950113378686</v>
      </c>
      <c r="Z1607" s="1116">
        <f t="shared" ca="1" si="108"/>
        <v>0.21541950113378686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>
        <v>-0.46357615894039739</v>
      </c>
      <c r="AQ1607" s="1116">
        <v>-0.69536423841059603</v>
      </c>
      <c r="AR1607" s="1116">
        <v>-0.90066225165562919</v>
      </c>
      <c r="AS1607" s="1116">
        <v>0.23950703916494892</v>
      </c>
      <c r="AT1607" s="1116">
        <v>0.28165431340730673</v>
      </c>
      <c r="AU1607" s="1116">
        <v>0.32380158764966455</v>
      </c>
      <c r="AV1607" s="1116">
        <f t="shared" ca="1" si="109"/>
        <v>0.32380158764966455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>
        <v>9.5238095238095344E-2</v>
      </c>
      <c r="U1608" s="1116">
        <v>0.14285714285714302</v>
      </c>
      <c r="V1608" s="1116">
        <v>0.19047619047619069</v>
      </c>
      <c r="W1608" s="1116">
        <v>1.1337868480725648E-2</v>
      </c>
      <c r="X1608" s="1116">
        <v>1.3605442176870777E-2</v>
      </c>
      <c r="Y1608" s="1116">
        <v>1.5873015873015907E-2</v>
      </c>
      <c r="Z1608" s="1116">
        <f t="shared" ca="1" si="108"/>
        <v>1.5873015873015907E-2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>
        <v>0.17218543046357615</v>
      </c>
      <c r="AQ1608" s="1116">
        <v>0.25827814569536423</v>
      </c>
      <c r="AR1608" s="1116">
        <v>0.370860927152318</v>
      </c>
      <c r="AS1608" s="1116">
        <v>4.4427875970352214E-2</v>
      </c>
      <c r="AT1608" s="1116">
        <v>5.4295864216481783E-2</v>
      </c>
      <c r="AU1608" s="1116">
        <v>6.4163852462611345E-2</v>
      </c>
      <c r="AV1608" s="1116">
        <f t="shared" ca="1" si="109"/>
        <v>6.4163852462611345E-2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>
        <v>0.66666666666666652</v>
      </c>
      <c r="U1609" s="1116">
        <v>0.99999999999999978</v>
      </c>
      <c r="V1609" s="1116">
        <v>1.1428571428571428</v>
      </c>
      <c r="W1609" s="1116">
        <v>0.39229024943310653</v>
      </c>
      <c r="X1609" s="1116">
        <v>0.55782312925170052</v>
      </c>
      <c r="Y1609" s="1116">
        <v>0.66893424036281157</v>
      </c>
      <c r="Z1609" s="1116">
        <f t="shared" ca="1" si="108"/>
        <v>0.66893424036281157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>
        <v>9.27152317880795E-2</v>
      </c>
      <c r="AQ1609" s="1116">
        <v>0.13907284768211925</v>
      </c>
      <c r="AR1609" s="1116">
        <v>0.185430463576159</v>
      </c>
      <c r="AS1609" s="1116">
        <v>1.355203719135128E-2</v>
      </c>
      <c r="AT1609" s="1116">
        <v>2.0613131003026176E-2</v>
      </c>
      <c r="AU1609" s="1116">
        <v>2.591991579316695E-2</v>
      </c>
      <c r="AV1609" s="1116">
        <f t="shared" ca="1" si="109"/>
        <v>2.591991579316695E-2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>
        <v>0.47619047619047628</v>
      </c>
      <c r="U1610" s="1116">
        <v>0.71428571428571441</v>
      </c>
      <c r="V1610" s="1116">
        <v>1.1428571428571428</v>
      </c>
      <c r="W1610" s="1116">
        <v>0.33786848072562359</v>
      </c>
      <c r="X1610" s="1116">
        <v>0.39455782312925169</v>
      </c>
      <c r="Y1610" s="1116">
        <v>0.4512471655328798</v>
      </c>
      <c r="Z1610" s="1116">
        <f t="shared" ca="1" si="108"/>
        <v>0.4512471655328798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>
        <v>1.3245033112582849E-2</v>
      </c>
      <c r="AQ1610" s="1116">
        <v>1.9867549668874274E-2</v>
      </c>
      <c r="AR1610" s="1116">
        <v>5.2980132450331396E-2</v>
      </c>
      <c r="AS1610" s="1116">
        <v>1.2718740406122667E-3</v>
      </c>
      <c r="AT1610" s="1116">
        <v>1.666593570457453E-3</v>
      </c>
      <c r="AU1610" s="1116">
        <v>2.0613131003026394E-3</v>
      </c>
      <c r="AV1610" s="1116">
        <f t="shared" ca="1" si="109"/>
        <v>2.0613131003026394E-3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>
        <v>0.85714285714285721</v>
      </c>
      <c r="U1611" s="1116">
        <v>1.2857142857142858</v>
      </c>
      <c r="V1611" s="1116">
        <v>1.9047619047619047</v>
      </c>
      <c r="W1611" s="1116">
        <v>1.1904761904761902</v>
      </c>
      <c r="X1611" s="1116">
        <v>1.4648526077097501</v>
      </c>
      <c r="Y1611" s="1116">
        <v>1.73922902494331</v>
      </c>
      <c r="Z1611" s="1116">
        <f t="shared" ca="1" si="108"/>
        <v>1.73922902494331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>
        <v>0.35761589403973515</v>
      </c>
      <c r="AQ1611" s="1116">
        <v>0.53642384105960272</v>
      </c>
      <c r="AR1611" s="1116">
        <v>0.741721854304636</v>
      </c>
      <c r="AS1611" s="1116">
        <v>0.17459760536818575</v>
      </c>
      <c r="AT1611" s="1116">
        <v>0.21148195254594115</v>
      </c>
      <c r="AU1611" s="1116">
        <v>0.24836629972369656</v>
      </c>
      <c r="AV1611" s="1116">
        <f t="shared" ca="1" si="109"/>
        <v>0.24836629972369656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>
        <v>9.5238095238095344E-2</v>
      </c>
      <c r="U1612" s="1116">
        <v>0.14285714285714302</v>
      </c>
      <c r="V1612" s="1116">
        <v>0</v>
      </c>
      <c r="W1612" s="1116">
        <v>4.761904761904763E-2</v>
      </c>
      <c r="X1612" s="1116">
        <v>6.8027210884353748E-2</v>
      </c>
      <c r="Y1612" s="1116">
        <v>8.8435374149659865E-2</v>
      </c>
      <c r="Z1612" s="1116">
        <f t="shared" ca="1" si="108"/>
        <v>8.8435374149659865E-2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>
        <v>3.9735099337748547E-2</v>
      </c>
      <c r="AQ1612" s="1116">
        <v>5.9602649006622821E-2</v>
      </c>
      <c r="AR1612" s="1116">
        <v>7.9470198675497095E-2</v>
      </c>
      <c r="AS1612" s="1116">
        <v>1.2718740406122667E-3</v>
      </c>
      <c r="AT1612" s="1116">
        <v>1.3157317661506207E-3</v>
      </c>
      <c r="AU1612" s="1116">
        <v>1.3595894916889747E-3</v>
      </c>
      <c r="AV1612" s="1116">
        <f t="shared" ca="1" si="109"/>
        <v>1.3595894916889747E-3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>
        <v>-0.2857142857142857</v>
      </c>
      <c r="U1613" s="1116">
        <v>-0.42857142857142855</v>
      </c>
      <c r="V1613" s="1116">
        <v>-0.38095238095238104</v>
      </c>
      <c r="W1613" s="1116">
        <v>8.3900226757369606E-2</v>
      </c>
      <c r="X1613" s="1116">
        <v>0.10430839002267572</v>
      </c>
      <c r="Y1613" s="1116">
        <v>0.12471655328798184</v>
      </c>
      <c r="Z1613" s="1116">
        <f t="shared" ca="1" si="108"/>
        <v>0.12471655328798184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>
        <v>-9.27152317880795E-2</v>
      </c>
      <c r="AQ1613" s="1116">
        <v>-0.13907284768211925</v>
      </c>
      <c r="AR1613" s="1116">
        <v>-0.1589403973509933</v>
      </c>
      <c r="AS1613" s="1116">
        <v>9.6925573439761437E-3</v>
      </c>
      <c r="AT1613" s="1116">
        <v>1.184158589535547E-2</v>
      </c>
      <c r="AU1613" s="1116">
        <v>1.3990614446734797E-2</v>
      </c>
      <c r="AV1613" s="1116">
        <f t="shared" ca="1" si="109"/>
        <v>1.3990614446734797E-2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>
        <v>9.5238095238095344E-2</v>
      </c>
      <c r="U1614" s="1116">
        <v>0.14285714285714302</v>
      </c>
      <c r="V1614" s="1116">
        <v>0.19047619047619069</v>
      </c>
      <c r="W1614" s="1116">
        <v>1.1337868480725648E-2</v>
      </c>
      <c r="X1614" s="1116">
        <v>1.3605442176870777E-2</v>
      </c>
      <c r="Y1614" s="1116">
        <v>1.5873015873015907E-2</v>
      </c>
      <c r="Z1614" s="1116">
        <f t="shared" ca="1" si="108"/>
        <v>1.5873015873015907E-2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>
        <v>-0.2781456953642385</v>
      </c>
      <c r="AQ1614" s="1116">
        <v>-0.41721854304635775</v>
      </c>
      <c r="AR1614" s="1116">
        <v>-0.5298013245033113</v>
      </c>
      <c r="AS1614" s="1116">
        <v>7.9864918205341862E-2</v>
      </c>
      <c r="AT1614" s="1116">
        <v>9.2539800885926032E-2</v>
      </c>
      <c r="AU1614" s="1116">
        <v>0.1052146835665102</v>
      </c>
      <c r="AV1614" s="1116">
        <f t="shared" ca="1" si="109"/>
        <v>0.1052146835665102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>
        <v>-0.47619047619047628</v>
      </c>
      <c r="U1615" s="1116">
        <v>-0.71428571428571441</v>
      </c>
      <c r="V1615" s="1116">
        <v>-0.76190476190476186</v>
      </c>
      <c r="W1615" s="1116">
        <v>0.17460317460317462</v>
      </c>
      <c r="X1615" s="1116">
        <v>0.19501133786848074</v>
      </c>
      <c r="Y1615" s="1116">
        <v>0.21541950113378686</v>
      </c>
      <c r="Z1615" s="1116">
        <f t="shared" ca="1" si="108"/>
        <v>0.21541950113378686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>
        <v>-0.14569536423841078</v>
      </c>
      <c r="AQ1615" s="1116">
        <v>-0.21854304635761618</v>
      </c>
      <c r="AR1615" s="1116">
        <v>-0.29139072847682157</v>
      </c>
      <c r="AS1615" s="1116">
        <v>2.6533923950703982E-2</v>
      </c>
      <c r="AT1615" s="1116">
        <v>3.1840708740844777E-2</v>
      </c>
      <c r="AU1615" s="1116">
        <v>3.7147493530985572E-2</v>
      </c>
      <c r="AV1615" s="1116">
        <f t="shared" ca="1" si="109"/>
        <v>3.7147493530985572E-2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>
        <v>-0.47619047619047628</v>
      </c>
      <c r="U1616" s="1116">
        <v>-0.71428571428571441</v>
      </c>
      <c r="V1616" s="1116">
        <v>-0.76190476190476186</v>
      </c>
      <c r="W1616" s="1116">
        <v>0.17460317460317462</v>
      </c>
      <c r="X1616" s="1116">
        <v>0.19501133786848074</v>
      </c>
      <c r="Y1616" s="1116">
        <v>0.21541950113378686</v>
      </c>
      <c r="Z1616" s="1116">
        <f t="shared" ca="1" si="108"/>
        <v>0.21541950113378686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>
        <v>0.17218543046357615</v>
      </c>
      <c r="AQ1616" s="1116">
        <v>0.25827814569536423</v>
      </c>
      <c r="AR1616" s="1116">
        <v>0.370860927152318</v>
      </c>
      <c r="AS1616" s="1116">
        <v>4.4427875970352214E-2</v>
      </c>
      <c r="AT1616" s="1116">
        <v>5.4295864216481783E-2</v>
      </c>
      <c r="AU1616" s="1116">
        <v>6.4163852462611345E-2</v>
      </c>
      <c r="AV1616" s="1116">
        <f t="shared" ca="1" si="109"/>
        <v>6.4163852462611345E-2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>
        <v>-0.47619047619047628</v>
      </c>
      <c r="U1617" s="1116">
        <v>-0.71428571428571441</v>
      </c>
      <c r="V1617" s="1116">
        <v>-0.95238095238095255</v>
      </c>
      <c r="W1617" s="1116">
        <v>0.21088435374149664</v>
      </c>
      <c r="X1617" s="1116">
        <v>0.23129251700680276</v>
      </c>
      <c r="Y1617" s="1116">
        <v>0.21541950113378691</v>
      </c>
      <c r="Z1617" s="1116">
        <f t="shared" ca="1" si="108"/>
        <v>0.21541950113378691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>
        <v>1.3245033112582849E-2</v>
      </c>
      <c r="AQ1617" s="1116">
        <v>1.9867549668874274E-2</v>
      </c>
      <c r="AR1617" s="1116">
        <v>0</v>
      </c>
      <c r="AS1617" s="1116">
        <v>2.1928862769177013E-4</v>
      </c>
      <c r="AT1617" s="1116">
        <v>2.6314635323012415E-4</v>
      </c>
      <c r="AU1617" s="1116">
        <v>1.0087276873821426E-3</v>
      </c>
      <c r="AV1617" s="1116">
        <f t="shared" ca="1" si="109"/>
        <v>1.0087276873821426E-3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>
        <v>0.28571428571428559</v>
      </c>
      <c r="U1618" s="1116">
        <v>0.42857142857142838</v>
      </c>
      <c r="V1618" s="1116">
        <v>0.38095238095238093</v>
      </c>
      <c r="W1618" s="1116">
        <v>8.3900226757369537E-2</v>
      </c>
      <c r="X1618" s="1116">
        <v>0.10430839002267564</v>
      </c>
      <c r="Y1618" s="1116">
        <v>0.19727891156462582</v>
      </c>
      <c r="Z1618" s="1116">
        <f t="shared" ca="1" si="108"/>
        <v>0.19727891156462582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>
        <v>0.33112582781456945</v>
      </c>
      <c r="AQ1618" s="1116">
        <v>0.49668874172185418</v>
      </c>
      <c r="AR1618" s="1116">
        <v>0.6357615894039732</v>
      </c>
      <c r="AS1618" s="1116">
        <v>0.1328450506556729</v>
      </c>
      <c r="AT1618" s="1116">
        <v>0.16025612911714388</v>
      </c>
      <c r="AU1618" s="1116">
        <v>0.18766720757861485</v>
      </c>
      <c r="AV1618" s="1116">
        <f t="shared" ca="1" si="109"/>
        <v>0.18766720757861485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>
        <v>0.66666666666666652</v>
      </c>
      <c r="U1619" s="1116">
        <v>0.99999999999999978</v>
      </c>
      <c r="V1619" s="1116">
        <v>1.1428571428571428</v>
      </c>
      <c r="W1619" s="1116">
        <v>0.39229024943310653</v>
      </c>
      <c r="X1619" s="1116">
        <v>0.3764172335600906</v>
      </c>
      <c r="Y1619" s="1116">
        <v>0.39682539682539669</v>
      </c>
      <c r="Z1619" s="1116">
        <f t="shared" ca="1" si="108"/>
        <v>0.39682539682539669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>
        <v>0.2516556291390728</v>
      </c>
      <c r="AQ1619" s="1116">
        <v>0.3774834437086092</v>
      </c>
      <c r="AR1619" s="1116">
        <v>0.5033112582781456</v>
      </c>
      <c r="AS1619" s="1116">
        <v>7.9163194596728187E-2</v>
      </c>
      <c r="AT1619" s="1116">
        <v>8.8680321038550891E-2</v>
      </c>
      <c r="AU1619" s="1116">
        <v>0.10135520371913506</v>
      </c>
      <c r="AV1619" s="1116">
        <f t="shared" ca="1" si="109"/>
        <v>0.10135520371913506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>
        <v>-1.0476190476190474</v>
      </c>
      <c r="U1620" s="1116">
        <v>-1.5714285714285712</v>
      </c>
      <c r="V1620" s="1116">
        <v>-1.9047619047619047</v>
      </c>
      <c r="W1620" s="1116">
        <v>0.95464852607709738</v>
      </c>
      <c r="X1620" s="1116">
        <v>0.95691609977324243</v>
      </c>
      <c r="Y1620" s="1116">
        <v>0.94104308390022662</v>
      </c>
      <c r="Z1620" s="1116">
        <f t="shared" ca="1" si="108"/>
        <v>0.94104308390022662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>
        <v>-0.22516556291390721</v>
      </c>
      <c r="AQ1620" s="1116">
        <v>-0.33774834437086082</v>
      </c>
      <c r="AR1620" s="1116">
        <v>-0.39735099337748336</v>
      </c>
      <c r="AS1620" s="1116">
        <v>4.3375290557431702E-2</v>
      </c>
      <c r="AT1620" s="1116">
        <v>4.5173457304504193E-2</v>
      </c>
      <c r="AU1620" s="1116">
        <v>4.8725933073110836E-2</v>
      </c>
      <c r="AV1620" s="1116">
        <f t="shared" ca="1" si="109"/>
        <v>4.8725933073110836E-2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>
        <v>9.5238095238095344E-2</v>
      </c>
      <c r="U1621" s="1116">
        <v>0.14285714285714302</v>
      </c>
      <c r="V1621" s="1116">
        <v>0.19047619047619069</v>
      </c>
      <c r="W1621" s="1116">
        <v>1.1337868480725648E-2</v>
      </c>
      <c r="X1621" s="1116">
        <v>1.3605442176870777E-2</v>
      </c>
      <c r="Y1621" s="1116">
        <v>1.5873015873015907E-2</v>
      </c>
      <c r="Z1621" s="1116">
        <f t="shared" ref="Z1621:Z1652" ca="1" si="112">SUMPRODUCT(F1522:Z1522,F1522:Z1522)</f>
        <v>1.5873015873015907E-2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>
        <v>9.27152317880795E-2</v>
      </c>
      <c r="AQ1621" s="1116">
        <v>0.13907284768211925</v>
      </c>
      <c r="AR1621" s="1116">
        <v>0.185430463576159</v>
      </c>
      <c r="AS1621" s="1116">
        <v>1.0745142756896633E-2</v>
      </c>
      <c r="AT1621" s="1116">
        <v>1.289417130827596E-2</v>
      </c>
      <c r="AU1621" s="1116">
        <v>1.5043199859655286E-2</v>
      </c>
      <c r="AV1621" s="1116">
        <f t="shared" ref="AV1621:AV1652" ca="1" si="113">SUMPRODUCT(AB1523:AV1523,AB1523:AV1523)</f>
        <v>1.5043199859655286E-2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>
        <v>-9.5238095238095344E-2</v>
      </c>
      <c r="U1622" s="1116">
        <v>-0.14285714285714302</v>
      </c>
      <c r="V1622" s="1116">
        <v>-0.38095238095238104</v>
      </c>
      <c r="W1622" s="1116">
        <v>6.5759637188208625E-2</v>
      </c>
      <c r="X1622" s="1116">
        <v>0.15873015873015878</v>
      </c>
      <c r="Y1622" s="1116">
        <v>0.21541950113378691</v>
      </c>
      <c r="Z1622" s="1116">
        <f t="shared" ca="1" si="112"/>
        <v>0.21541950113378691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>
        <v>-0.14569536423841078</v>
      </c>
      <c r="AQ1622" s="1116">
        <v>-0.21854304635761618</v>
      </c>
      <c r="AR1622" s="1116">
        <v>-0.31788079470198694</v>
      </c>
      <c r="AS1622" s="1116">
        <v>3.7761501688522416E-2</v>
      </c>
      <c r="AT1622" s="1116">
        <v>4.762948993465195E-2</v>
      </c>
      <c r="AU1622" s="1116">
        <v>5.7497478180781485E-2</v>
      </c>
      <c r="AV1622" s="1116">
        <f t="shared" ca="1" si="113"/>
        <v>5.7497478180781485E-2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>
        <v>9.5238095238095344E-2</v>
      </c>
      <c r="U1623" s="1116">
        <v>0.14285714285714302</v>
      </c>
      <c r="V1623" s="1116">
        <v>0.57142857142857162</v>
      </c>
      <c r="W1623" s="1116">
        <v>0.1020408163265306</v>
      </c>
      <c r="X1623" s="1116">
        <v>0.1224489795918367</v>
      </c>
      <c r="Y1623" s="1116">
        <v>0.14285714285714279</v>
      </c>
      <c r="Z1623" s="1116">
        <f t="shared" ca="1" si="112"/>
        <v>0.14285714285714279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>
        <v>-1.3245033112582849E-2</v>
      </c>
      <c r="AQ1623" s="1116">
        <v>-1.9867549668874274E-2</v>
      </c>
      <c r="AR1623" s="1116">
        <v>0</v>
      </c>
      <c r="AS1623" s="1116">
        <v>2.1928862769177013E-4</v>
      </c>
      <c r="AT1623" s="1116">
        <v>2.6314635323012415E-4</v>
      </c>
      <c r="AU1623" s="1116">
        <v>3.0700407876847817E-4</v>
      </c>
      <c r="AV1623" s="1116">
        <f t="shared" ca="1" si="113"/>
        <v>3.0700407876847817E-4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>
        <v>9.5238095238095344E-2</v>
      </c>
      <c r="U1624" s="1116">
        <v>0.14285714285714302</v>
      </c>
      <c r="V1624" s="1116">
        <v>0</v>
      </c>
      <c r="W1624" s="1116">
        <v>1.1337868480725648E-2</v>
      </c>
      <c r="X1624" s="1116">
        <v>1.3605442176870777E-2</v>
      </c>
      <c r="Y1624" s="1116">
        <v>1.5873015873015907E-2</v>
      </c>
      <c r="Z1624" s="1116">
        <f t="shared" ca="1" si="112"/>
        <v>1.5873015873015907E-2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>
        <v>-9.27152317880795E-2</v>
      </c>
      <c r="AQ1624" s="1116">
        <v>-0.13907284768211925</v>
      </c>
      <c r="AR1624" s="1116">
        <v>-0.21192052980132459</v>
      </c>
      <c r="AS1624" s="1116">
        <v>1.846410245164689E-2</v>
      </c>
      <c r="AT1624" s="1116">
        <v>2.3770887241787685E-2</v>
      </c>
      <c r="AU1624" s="1116">
        <v>2.907767203192848E-2</v>
      </c>
      <c r="AV1624" s="1116">
        <f t="shared" ca="1" si="113"/>
        <v>2.907767203192848E-2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>
        <v>0.66666666666666652</v>
      </c>
      <c r="U1625" s="1116">
        <v>0.99999999999999978</v>
      </c>
      <c r="V1625" s="1116">
        <v>1.1428571428571428</v>
      </c>
      <c r="W1625" s="1116">
        <v>0.31972789115646244</v>
      </c>
      <c r="X1625" s="1116">
        <v>0.34013605442176853</v>
      </c>
      <c r="Y1625" s="1116">
        <v>0.36054421768707462</v>
      </c>
      <c r="Z1625" s="1116">
        <f t="shared" ca="1" si="112"/>
        <v>0.36054421768707462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>
        <v>3.9735099337748547E-2</v>
      </c>
      <c r="AQ1625" s="1116">
        <v>5.9602649006622821E-2</v>
      </c>
      <c r="AR1625" s="1116">
        <v>5.2980132450331396E-2</v>
      </c>
      <c r="AS1625" s="1116">
        <v>9.2101223630543455E-4</v>
      </c>
      <c r="AT1625" s="1116">
        <v>9.6486996184378857E-4</v>
      </c>
      <c r="AU1625" s="1116">
        <v>1.0087276873821426E-3</v>
      </c>
      <c r="AV1625" s="1116">
        <f t="shared" ca="1" si="113"/>
        <v>1.0087276873821426E-3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>
        <v>-0.2857142857142857</v>
      </c>
      <c r="U1626" s="1116">
        <v>-0.42857142857142855</v>
      </c>
      <c r="V1626" s="1116">
        <v>-0.19047619047619035</v>
      </c>
      <c r="W1626" s="1116">
        <v>4.761904761904763E-2</v>
      </c>
      <c r="X1626" s="1116">
        <v>4.988662131519276E-2</v>
      </c>
      <c r="Y1626" s="1116">
        <v>5.2154195011337889E-2</v>
      </c>
      <c r="Z1626" s="1116">
        <f t="shared" ca="1" si="112"/>
        <v>5.2154195011337889E-2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>
        <v>0.14569536423841045</v>
      </c>
      <c r="AQ1626" s="1116">
        <v>0.21854304635761568</v>
      </c>
      <c r="AR1626" s="1116">
        <v>0.3178807947019866</v>
      </c>
      <c r="AS1626" s="1116">
        <v>2.8639094776544846E-2</v>
      </c>
      <c r="AT1626" s="1116">
        <v>3.394587956668562E-2</v>
      </c>
      <c r="AU1626" s="1116">
        <v>3.9252664356826394E-2</v>
      </c>
      <c r="AV1626" s="1116">
        <f t="shared" ca="1" si="113"/>
        <v>3.9252664356826394E-2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>
        <v>-9.5238095238095344E-2</v>
      </c>
      <c r="U1627" s="1116">
        <v>-0.14285714285714302</v>
      </c>
      <c r="V1627" s="1116">
        <v>-0.19047619047619069</v>
      </c>
      <c r="W1627" s="1116">
        <v>1.1337868480725648E-2</v>
      </c>
      <c r="X1627" s="1116">
        <v>1.3605442176870777E-2</v>
      </c>
      <c r="Y1627" s="1116">
        <v>1.5873015873015907E-2</v>
      </c>
      <c r="Z1627" s="1116">
        <f t="shared" ca="1" si="112"/>
        <v>1.5873015873015907E-2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>
        <v>-0.14569536423841078</v>
      </c>
      <c r="AQ1627" s="1116">
        <v>-0.21854304635761618</v>
      </c>
      <c r="AR1627" s="1116">
        <v>-0.29139072847682157</v>
      </c>
      <c r="AS1627" s="1116">
        <v>3.0744265602385905E-2</v>
      </c>
      <c r="AT1627" s="1116">
        <v>3.8156221218367661E-2</v>
      </c>
      <c r="AU1627" s="1116">
        <v>4.5568176834349418E-2</v>
      </c>
      <c r="AV1627" s="1116">
        <f t="shared" ca="1" si="113"/>
        <v>4.5568176834349418E-2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>
        <v>0.47619047619047628</v>
      </c>
      <c r="U1628" s="1116">
        <v>0.71428571428571441</v>
      </c>
      <c r="V1628" s="1116">
        <v>0.76190476190476186</v>
      </c>
      <c r="W1628" s="1116">
        <v>0.13832199546485263</v>
      </c>
      <c r="X1628" s="1116">
        <v>0.14058956916099777</v>
      </c>
      <c r="Y1628" s="1116">
        <v>0.1428571428571429</v>
      </c>
      <c r="Z1628" s="1116">
        <f t="shared" ca="1" si="112"/>
        <v>0.1428571428571429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>
        <v>1.3245033112582849E-2</v>
      </c>
      <c r="AQ1628" s="1116">
        <v>1.9867549668874274E-2</v>
      </c>
      <c r="AR1628" s="1116">
        <v>2.6490066225165698E-2</v>
      </c>
      <c r="AS1628" s="1116">
        <v>2.1928862769177013E-4</v>
      </c>
      <c r="AT1628" s="1116">
        <v>2.6314635323012415E-4</v>
      </c>
      <c r="AU1628" s="1116">
        <v>3.0700407876847817E-4</v>
      </c>
      <c r="AV1628" s="1116">
        <f t="shared" ca="1" si="113"/>
        <v>3.0700407876847817E-4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>
        <v>-0.2857142857142857</v>
      </c>
      <c r="U1629" s="1116">
        <v>-0.42857142857142855</v>
      </c>
      <c r="V1629" s="1116">
        <v>-0.19047619047619035</v>
      </c>
      <c r="W1629" s="1116">
        <v>4.761904761904763E-2</v>
      </c>
      <c r="X1629" s="1116">
        <v>4.988662131519276E-2</v>
      </c>
      <c r="Y1629" s="1116">
        <v>5.2154195011337889E-2</v>
      </c>
      <c r="Z1629" s="1116">
        <f t="shared" ca="1" si="112"/>
        <v>5.2154195011337889E-2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>
        <v>-0.14569536423841078</v>
      </c>
      <c r="AQ1629" s="1116">
        <v>-0.21854304635761618</v>
      </c>
      <c r="AR1629" s="1116">
        <v>-0.23841059602649028</v>
      </c>
      <c r="AS1629" s="1116">
        <v>1.7060655234419575E-2</v>
      </c>
      <c r="AT1629" s="1116">
        <v>1.9209683785798903E-2</v>
      </c>
      <c r="AU1629" s="1116">
        <v>2.1358712337178232E-2</v>
      </c>
      <c r="AV1629" s="1116">
        <f t="shared" ca="1" si="113"/>
        <v>2.1358712337178232E-2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>
        <v>9.5238095238095344E-2</v>
      </c>
      <c r="U1630" s="1116">
        <v>0.14285714285714302</v>
      </c>
      <c r="V1630" s="1116">
        <v>0</v>
      </c>
      <c r="W1630" s="1116">
        <v>1.1337868480725648E-2</v>
      </c>
      <c r="X1630" s="1116">
        <v>1.3605442176870777E-2</v>
      </c>
      <c r="Y1630" s="1116">
        <v>1.5873015873015907E-2</v>
      </c>
      <c r="Z1630" s="1116">
        <f t="shared" ca="1" si="112"/>
        <v>1.5873015873015907E-2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>
        <v>-6.6225165562913801E-2</v>
      </c>
      <c r="AQ1630" s="1116">
        <v>-9.9337748344370702E-2</v>
      </c>
      <c r="AR1630" s="1116">
        <v>-0.1324503311258276</v>
      </c>
      <c r="AS1630" s="1116">
        <v>5.4822156922941807E-3</v>
      </c>
      <c r="AT1630" s="1116">
        <v>6.578658830753017E-3</v>
      </c>
      <c r="AU1630" s="1116">
        <v>7.6751019692118533E-3</v>
      </c>
      <c r="AV1630" s="1116">
        <f t="shared" ca="1" si="113"/>
        <v>6.9733783605981968E-3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>
        <v>-9.5238095238095344E-2</v>
      </c>
      <c r="U1631" s="1116">
        <v>-0.14285714285714302</v>
      </c>
      <c r="V1631" s="1116">
        <v>0</v>
      </c>
      <c r="W1631" s="1116">
        <v>4.7619047619047596E-2</v>
      </c>
      <c r="X1631" s="1116">
        <v>6.8027210884353706E-2</v>
      </c>
      <c r="Y1631" s="1116">
        <v>5.2154195011337855E-2</v>
      </c>
      <c r="Z1631" s="1116">
        <f t="shared" ca="1" si="112"/>
        <v>5.2154195011337855E-2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>
        <v>0.1192052980132452</v>
      </c>
      <c r="AQ1631" s="1116">
        <v>0.1788079470198678</v>
      </c>
      <c r="AR1631" s="1116">
        <v>0.26490066225165565</v>
      </c>
      <c r="AS1631" s="1116">
        <v>2.3025305907635615E-2</v>
      </c>
      <c r="AT1631" s="1116">
        <v>3.2542432349458354E-2</v>
      </c>
      <c r="AU1631" s="1116">
        <v>3.5744046313758146E-2</v>
      </c>
      <c r="AV1631" s="1116">
        <f t="shared" ca="1" si="113"/>
        <v>3.5744046313758146E-2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>
        <v>-0.2857142857142857</v>
      </c>
      <c r="U1632" s="1116">
        <v>-0.42857142857142855</v>
      </c>
      <c r="V1632" s="1116">
        <v>-0.76190476190476197</v>
      </c>
      <c r="W1632" s="1116">
        <v>0.21088435374149664</v>
      </c>
      <c r="X1632" s="1116">
        <v>0.26757369614512477</v>
      </c>
      <c r="Y1632" s="1116">
        <v>0.32426303854875294</v>
      </c>
      <c r="Z1632" s="1116">
        <f t="shared" ca="1" si="112"/>
        <v>0.32426303854875294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>
        <v>-0.38410596026490051</v>
      </c>
      <c r="AQ1632" s="1116">
        <v>-0.57615894039735083</v>
      </c>
      <c r="AR1632" s="1116">
        <v>-0.79470198675496673</v>
      </c>
      <c r="AS1632" s="1116">
        <v>0.18968466295337916</v>
      </c>
      <c r="AT1632" s="1116">
        <v>0.22656901013113451</v>
      </c>
      <c r="AU1632" s="1116">
        <v>0.26345335730888986</v>
      </c>
      <c r="AV1632" s="1116">
        <f t="shared" ca="1" si="113"/>
        <v>0.26345335730888986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>
        <v>-0.66666666666666685</v>
      </c>
      <c r="U1633" s="1116">
        <v>-1.0000000000000002</v>
      </c>
      <c r="V1633" s="1116">
        <v>-0.95238095238095255</v>
      </c>
      <c r="W1633" s="1116">
        <v>0.28344671201814076</v>
      </c>
      <c r="X1633" s="1116">
        <v>0.3038548752834469</v>
      </c>
      <c r="Y1633" s="1116">
        <v>0.32426303854875305</v>
      </c>
      <c r="Z1633" s="1116">
        <f t="shared" ca="1" si="112"/>
        <v>0.32426303854875305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>
        <v>-1.3245033112582849E-2</v>
      </c>
      <c r="AQ1633" s="1116">
        <v>-1.9867549668874274E-2</v>
      </c>
      <c r="AR1633" s="1116">
        <v>0</v>
      </c>
      <c r="AS1633" s="1116">
        <v>2.1928862769177013E-4</v>
      </c>
      <c r="AT1633" s="1116">
        <v>2.6314635323012415E-4</v>
      </c>
      <c r="AU1633" s="1116">
        <v>3.0700407876847817E-4</v>
      </c>
      <c r="AV1633" s="1116">
        <f t="shared" ca="1" si="113"/>
        <v>3.0700407876847817E-4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>
        <v>0.47619047619047628</v>
      </c>
      <c r="U1634" s="1116">
        <v>0.71428571428571441</v>
      </c>
      <c r="V1634" s="1116">
        <v>0.95238095238095255</v>
      </c>
      <c r="W1634" s="1116">
        <v>0.21088435374149661</v>
      </c>
      <c r="X1634" s="1116">
        <v>0.2312925170068027</v>
      </c>
      <c r="Y1634" s="1116">
        <v>0.25170068027210879</v>
      </c>
      <c r="Z1634" s="1116">
        <f t="shared" ca="1" si="112"/>
        <v>0.25170068027210879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>
        <v>0.2516556291390728</v>
      </c>
      <c r="AQ1634" s="1116">
        <v>0.3774834437086092</v>
      </c>
      <c r="AR1634" s="1116">
        <v>0.5298013245033113</v>
      </c>
      <c r="AS1634" s="1116">
        <v>8.2671812639796491E-2</v>
      </c>
      <c r="AT1634" s="1116">
        <v>9.8504451559142128E-2</v>
      </c>
      <c r="AU1634" s="1116">
        <v>0.11433709047848777</v>
      </c>
      <c r="AV1634" s="1116">
        <f t="shared" ca="1" si="113"/>
        <v>0.11433709047848777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>
        <v>9.5238095238095344E-2</v>
      </c>
      <c r="U1635" s="1116">
        <v>0.14285714285714302</v>
      </c>
      <c r="V1635" s="1116">
        <v>0</v>
      </c>
      <c r="W1635" s="1116">
        <v>1.1337868480725648E-2</v>
      </c>
      <c r="X1635" s="1116">
        <v>1.3605442176870777E-2</v>
      </c>
      <c r="Y1635" s="1116">
        <v>1.5873015873015907E-2</v>
      </c>
      <c r="Z1635" s="1116">
        <f t="shared" ca="1" si="112"/>
        <v>1.5873015873015907E-2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>
        <v>3.9735099337748547E-2</v>
      </c>
      <c r="AQ1635" s="1116">
        <v>5.9602649006622821E-2</v>
      </c>
      <c r="AR1635" s="1116">
        <v>5.2980132450331396E-2</v>
      </c>
      <c r="AS1635" s="1116">
        <v>1.6227358449190992E-3</v>
      </c>
      <c r="AT1635" s="1116">
        <v>2.0174553747642856E-3</v>
      </c>
      <c r="AU1635" s="1116">
        <v>2.412174904609472E-3</v>
      </c>
      <c r="AV1635" s="1116">
        <f t="shared" ca="1" si="113"/>
        <v>2.412174904609472E-3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>
        <v>9.5238095238095344E-2</v>
      </c>
      <c r="U1636" s="1116">
        <v>0.14285714285714302</v>
      </c>
      <c r="V1636" s="1116">
        <v>0</v>
      </c>
      <c r="W1636" s="1116">
        <v>4.761904761904763E-2</v>
      </c>
      <c r="X1636" s="1116">
        <v>6.8027210884353748E-2</v>
      </c>
      <c r="Y1636" s="1116">
        <v>8.8435374149659865E-2</v>
      </c>
      <c r="Z1636" s="1116">
        <f t="shared" ca="1" si="112"/>
        <v>8.8435374149659865E-2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>
        <v>0.2781456953642385</v>
      </c>
      <c r="AQ1636" s="1116">
        <v>0.41721854304635775</v>
      </c>
      <c r="AR1636" s="1116">
        <v>0.5298013245033113</v>
      </c>
      <c r="AS1636" s="1116">
        <v>7.9864918205341862E-2</v>
      </c>
      <c r="AT1636" s="1116">
        <v>9.2539800885926032E-2</v>
      </c>
      <c r="AU1636" s="1116">
        <v>0.1052146835665102</v>
      </c>
      <c r="AV1636" s="1116">
        <f t="shared" ca="1" si="113"/>
        <v>0.1052146835665102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>
        <v>0.28571428571428559</v>
      </c>
      <c r="U1637" s="1116">
        <v>0.42857142857142838</v>
      </c>
      <c r="V1637" s="1116">
        <v>0.57142857142857117</v>
      </c>
      <c r="W1637" s="1116">
        <v>6.575963718820857E-2</v>
      </c>
      <c r="X1637" s="1116">
        <v>6.8027210884353706E-2</v>
      </c>
      <c r="Y1637" s="1116">
        <v>7.0294784580498842E-2</v>
      </c>
      <c r="Z1637" s="1116">
        <f t="shared" ca="1" si="112"/>
        <v>7.0294784580498842E-2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>
        <v>0.17218543046357615</v>
      </c>
      <c r="AQ1637" s="1116">
        <v>0.25827814569536423</v>
      </c>
      <c r="AR1637" s="1116">
        <v>0.3178807947019866</v>
      </c>
      <c r="AS1637" s="1116">
        <v>3.0744265602385829E-2</v>
      </c>
      <c r="AT1637" s="1116">
        <v>3.6051050392526603E-2</v>
      </c>
      <c r="AU1637" s="1116">
        <v>4.1357835182667377E-2</v>
      </c>
      <c r="AV1637" s="1116">
        <f t="shared" ca="1" si="113"/>
        <v>4.1357835182667377E-2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>
        <v>0.47619047619047628</v>
      </c>
      <c r="U1638" s="1116">
        <v>0.71428571428571441</v>
      </c>
      <c r="V1638" s="1116">
        <v>0.95238095238095255</v>
      </c>
      <c r="W1638" s="1116">
        <v>0.28344671201814065</v>
      </c>
      <c r="X1638" s="1116">
        <v>0.34013605442176875</v>
      </c>
      <c r="Y1638" s="1116">
        <v>0.39682539682539686</v>
      </c>
      <c r="Z1638" s="1116">
        <f t="shared" ca="1" si="112"/>
        <v>0.39682539682539686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>
        <v>-1.3245033112582849E-2</v>
      </c>
      <c r="AQ1638" s="1116">
        <v>-1.9867549668874274E-2</v>
      </c>
      <c r="AR1638" s="1116">
        <v>-2.6490066225165698E-2</v>
      </c>
      <c r="AS1638" s="1116">
        <v>2.1928862769177013E-4</v>
      </c>
      <c r="AT1638" s="1116">
        <v>2.6314635323012415E-4</v>
      </c>
      <c r="AU1638" s="1116">
        <v>3.0700407876847817E-4</v>
      </c>
      <c r="AV1638" s="1116">
        <f t="shared" ca="1" si="113"/>
        <v>3.0700407876847817E-4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>
        <v>0.66666666666666652</v>
      </c>
      <c r="U1639" s="1116">
        <v>0.99999999999999978</v>
      </c>
      <c r="V1639" s="1116">
        <v>1.5238095238095237</v>
      </c>
      <c r="W1639" s="1116">
        <v>0.77324263038548757</v>
      </c>
      <c r="X1639" s="1116">
        <v>0.95691609977324266</v>
      </c>
      <c r="Y1639" s="1116">
        <v>1.1405895691609977</v>
      </c>
      <c r="Z1639" s="1116">
        <f t="shared" ca="1" si="112"/>
        <v>1.1405895691609977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>
        <v>0.2516556291390728</v>
      </c>
      <c r="AQ1639" s="1116">
        <v>0.3774834437086092</v>
      </c>
      <c r="AR1639" s="1116">
        <v>0.4768211920529799</v>
      </c>
      <c r="AS1639" s="1116">
        <v>7.600543835796672E-2</v>
      </c>
      <c r="AT1639" s="1116">
        <v>9.1838077277312358E-2</v>
      </c>
      <c r="AU1639" s="1116">
        <v>0.107670716196658</v>
      </c>
      <c r="AV1639" s="1116">
        <f t="shared" ca="1" si="113"/>
        <v>0.107670716196658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>
        <v>0.28571428571428559</v>
      </c>
      <c r="U1640" s="1116">
        <v>0.42857142857142838</v>
      </c>
      <c r="V1640" s="1116">
        <v>0.57142857142857117</v>
      </c>
      <c r="W1640" s="1116">
        <v>6.575963718820857E-2</v>
      </c>
      <c r="X1640" s="1116">
        <v>6.8027210884353706E-2</v>
      </c>
      <c r="Y1640" s="1116">
        <v>7.0294784580498842E-2</v>
      </c>
      <c r="Z1640" s="1116">
        <f t="shared" ca="1" si="112"/>
        <v>7.0294784580498842E-2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>
        <v>-0.22516556291390721</v>
      </c>
      <c r="AQ1640" s="1116">
        <v>-0.33774834437086082</v>
      </c>
      <c r="AR1640" s="1116">
        <v>-0.47682119205298001</v>
      </c>
      <c r="AS1640" s="1116">
        <v>7.2847682119205268E-2</v>
      </c>
      <c r="AT1640" s="1116">
        <v>8.8680321038550905E-2</v>
      </c>
      <c r="AU1640" s="1116">
        <v>0.10451295995789654</v>
      </c>
      <c r="AV1640" s="1116">
        <f t="shared" ca="1" si="113"/>
        <v>0.10451295995789654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>
        <v>-0.66666666666666685</v>
      </c>
      <c r="U1641" s="1116">
        <v>-1.0000000000000002</v>
      </c>
      <c r="V1641" s="1116">
        <v>-1.3333333333333337</v>
      </c>
      <c r="W1641" s="1116">
        <v>0.55555555555555591</v>
      </c>
      <c r="X1641" s="1116">
        <v>0.66666666666666707</v>
      </c>
      <c r="Y1641" s="1116">
        <v>0.77777777777777823</v>
      </c>
      <c r="Z1641" s="1116">
        <f t="shared" ca="1" si="112"/>
        <v>0.77777777777777823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>
        <v>-0.35761589403973515</v>
      </c>
      <c r="AQ1641" s="1116">
        <v>-0.53642384105960272</v>
      </c>
      <c r="AR1641" s="1116">
        <v>-0.7152317880794703</v>
      </c>
      <c r="AS1641" s="1116">
        <v>0.15986140958729883</v>
      </c>
      <c r="AT1641" s="1116">
        <v>0.1918336915047586</v>
      </c>
      <c r="AU1641" s="1116">
        <v>0.22380597342221836</v>
      </c>
      <c r="AV1641" s="1116">
        <f t="shared" ca="1" si="113"/>
        <v>0.22380597342221836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>
        <v>-0.2857142857142857</v>
      </c>
      <c r="U1642" s="1116">
        <v>-0.42857142857142855</v>
      </c>
      <c r="V1642" s="1116">
        <v>-0.38095238095238104</v>
      </c>
      <c r="W1642" s="1116">
        <v>8.3900226757369606E-2</v>
      </c>
      <c r="X1642" s="1116">
        <v>0.10430839002267572</v>
      </c>
      <c r="Y1642" s="1116">
        <v>0.12471655328798184</v>
      </c>
      <c r="Z1642" s="1116">
        <f t="shared" ca="1" si="112"/>
        <v>0.12471655328798184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>
        <v>-0.4370860927152318</v>
      </c>
      <c r="AQ1642" s="1116">
        <v>-0.6556291390728477</v>
      </c>
      <c r="AR1642" s="1116">
        <v>-0.8211920529801322</v>
      </c>
      <c r="AS1642" s="1116">
        <v>0.20617516775580014</v>
      </c>
      <c r="AT1642" s="1116">
        <v>0.24305951493355549</v>
      </c>
      <c r="AU1642" s="1116">
        <v>0.27994386211131084</v>
      </c>
      <c r="AV1642" s="1116">
        <f t="shared" ca="1" si="113"/>
        <v>0.27994386211131084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>
        <v>9.5238095238095344E-2</v>
      </c>
      <c r="U1643" s="1116">
        <v>0.14285714285714302</v>
      </c>
      <c r="V1643" s="1116">
        <v>0.38095238095238093</v>
      </c>
      <c r="W1643" s="1116">
        <v>0.13832199546485263</v>
      </c>
      <c r="X1643" s="1116">
        <v>0.19501133786848077</v>
      </c>
      <c r="Y1643" s="1116">
        <v>0.2517006802721089</v>
      </c>
      <c r="Z1643" s="1116">
        <f t="shared" ca="1" si="112"/>
        <v>0.2517006802721089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>
        <v>-0.30463576158940409</v>
      </c>
      <c r="AQ1643" s="1116">
        <v>-0.45695364238410613</v>
      </c>
      <c r="AR1643" s="1116">
        <v>-0.58278145695364258</v>
      </c>
      <c r="AS1643" s="1116">
        <v>0.10442524450681995</v>
      </c>
      <c r="AT1643" s="1116">
        <v>0.12376650146923389</v>
      </c>
      <c r="AU1643" s="1116">
        <v>0.14310775843164783</v>
      </c>
      <c r="AV1643" s="1116">
        <f t="shared" ca="1" si="113"/>
        <v>0.14310775843164783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>
        <v>-0.85714285714285721</v>
      </c>
      <c r="U1644" s="1116">
        <v>-1.2857142857142858</v>
      </c>
      <c r="V1644" s="1116">
        <v>-1.3333333333333335</v>
      </c>
      <c r="W1644" s="1116">
        <v>0.5374149659863946</v>
      </c>
      <c r="X1644" s="1116">
        <v>0.59410430839002271</v>
      </c>
      <c r="Y1644" s="1116">
        <v>0.65079365079365081</v>
      </c>
      <c r="Z1644" s="1116">
        <f t="shared" ca="1" si="112"/>
        <v>0.65079365079365081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>
        <v>0.2781456953642385</v>
      </c>
      <c r="AQ1644" s="1116">
        <v>0.41721854304635775</v>
      </c>
      <c r="AR1644" s="1116">
        <v>0.58278145695364225</v>
      </c>
      <c r="AS1644" s="1116">
        <v>0.10828472435419492</v>
      </c>
      <c r="AT1644" s="1116">
        <v>0.13148546116398394</v>
      </c>
      <c r="AU1644" s="1116">
        <v>0.15468619797377295</v>
      </c>
      <c r="AV1644" s="1116">
        <f t="shared" ca="1" si="113"/>
        <v>0.15468619797377295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>
        <v>0.47619047619047628</v>
      </c>
      <c r="U1645" s="1116">
        <v>0.71428571428571441</v>
      </c>
      <c r="V1645" s="1116">
        <v>0.95238095238095255</v>
      </c>
      <c r="W1645" s="1116">
        <v>0.39229024943310653</v>
      </c>
      <c r="X1645" s="1116">
        <v>0.50340136054421758</v>
      </c>
      <c r="Y1645" s="1116">
        <v>0.61451247165532863</v>
      </c>
      <c r="Z1645" s="1116">
        <f t="shared" ca="1" si="112"/>
        <v>0.61451247165532863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>
        <v>0.38410596026490085</v>
      </c>
      <c r="AQ1645" s="1116">
        <v>0.57615894039735127</v>
      </c>
      <c r="AR1645" s="1116">
        <v>0.7682119205298017</v>
      </c>
      <c r="AS1645" s="1116">
        <v>0.184421735888777</v>
      </c>
      <c r="AT1645" s="1116">
        <v>0.22130608306653241</v>
      </c>
      <c r="AU1645" s="1116">
        <v>0.25819043024428778</v>
      </c>
      <c r="AV1645" s="1116">
        <f t="shared" ca="1" si="113"/>
        <v>0.25819043024428778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>
        <v>-0.47619047619047628</v>
      </c>
      <c r="U1646" s="1116">
        <v>-0.71428571428571441</v>
      </c>
      <c r="V1646" s="1116">
        <v>-0.76190476190476186</v>
      </c>
      <c r="W1646" s="1116">
        <v>0.17460317460317462</v>
      </c>
      <c r="X1646" s="1116">
        <v>0.19501133786848074</v>
      </c>
      <c r="Y1646" s="1116">
        <v>0.21541950113378686</v>
      </c>
      <c r="Z1646" s="1116">
        <f t="shared" ca="1" si="112"/>
        <v>0.21541950113378686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>
        <v>-0.46357615894039739</v>
      </c>
      <c r="AQ1646" s="1116">
        <v>-0.69536423841059603</v>
      </c>
      <c r="AR1646" s="1116">
        <v>-0.90066225165562919</v>
      </c>
      <c r="AS1646" s="1116">
        <v>0.23950703916494892</v>
      </c>
      <c r="AT1646" s="1116">
        <v>0.28165431340730673</v>
      </c>
      <c r="AU1646" s="1116">
        <v>0.32380158764966455</v>
      </c>
      <c r="AV1646" s="1116">
        <f t="shared" ca="1" si="113"/>
        <v>0.32380158764966455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>
        <v>0.47619047619047628</v>
      </c>
      <c r="U1647" s="1116">
        <v>0.71428571428571441</v>
      </c>
      <c r="V1647" s="1116">
        <v>0.76190476190476186</v>
      </c>
      <c r="W1647" s="1116">
        <v>0.17460317460317454</v>
      </c>
      <c r="X1647" s="1116">
        <v>0.19501133786848063</v>
      </c>
      <c r="Y1647" s="1116">
        <v>0.21541950113378672</v>
      </c>
      <c r="Z1647" s="1116">
        <f t="shared" ca="1" si="112"/>
        <v>0.21541950113378672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>
        <v>0.4105960264900661</v>
      </c>
      <c r="AQ1647" s="1116">
        <v>0.61589403973509915</v>
      </c>
      <c r="AR1647" s="1116">
        <v>0.8211920529801322</v>
      </c>
      <c r="AS1647" s="1116">
        <v>0.21073637121178881</v>
      </c>
      <c r="AT1647" s="1116">
        <v>0.2528836454541466</v>
      </c>
      <c r="AU1647" s="1116">
        <v>0.29503091969650436</v>
      </c>
      <c r="AV1647" s="1116">
        <f t="shared" ca="1" si="113"/>
        <v>0.29503091969650436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>
        <v>0.47619047619047628</v>
      </c>
      <c r="U1648" s="1116">
        <v>0.71428571428571441</v>
      </c>
      <c r="V1648" s="1116">
        <v>0.76190476190476186</v>
      </c>
      <c r="W1648" s="1116">
        <v>0.17460317460317454</v>
      </c>
      <c r="X1648" s="1116">
        <v>0.19501133786848063</v>
      </c>
      <c r="Y1648" s="1116">
        <v>0.21541950113378672</v>
      </c>
      <c r="Z1648" s="1116">
        <f t="shared" ca="1" si="112"/>
        <v>0.21541950113378672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>
        <v>9.27152317880795E-2</v>
      </c>
      <c r="AQ1648" s="1116">
        <v>0.13907284768211925</v>
      </c>
      <c r="AR1648" s="1116">
        <v>0.13245033112582805</v>
      </c>
      <c r="AS1648" s="1116">
        <v>5.482215692294211E-3</v>
      </c>
      <c r="AT1648" s="1116">
        <v>5.876935222139397E-3</v>
      </c>
      <c r="AU1648" s="1116">
        <v>6.2716547519845829E-3</v>
      </c>
      <c r="AV1648" s="1116">
        <f t="shared" ca="1" si="113"/>
        <v>6.2716547519845829E-3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>
        <v>-0.2857142857142857</v>
      </c>
      <c r="U1649" s="1116">
        <v>-0.42857142857142855</v>
      </c>
      <c r="V1649" s="1116">
        <v>-0.19047619047619035</v>
      </c>
      <c r="W1649" s="1116">
        <v>4.761904761904763E-2</v>
      </c>
      <c r="X1649" s="1116">
        <v>4.988662131519276E-2</v>
      </c>
      <c r="Y1649" s="1116">
        <v>5.2154195011337889E-2</v>
      </c>
      <c r="Z1649" s="1116">
        <f t="shared" ca="1" si="112"/>
        <v>5.2154195011337889E-2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>
        <v>0.14569536423841045</v>
      </c>
      <c r="AQ1649" s="1116">
        <v>0.21854304635761568</v>
      </c>
      <c r="AR1649" s="1116">
        <v>0.3178807947019866</v>
      </c>
      <c r="AS1649" s="1116">
        <v>2.8639094776544846E-2</v>
      </c>
      <c r="AT1649" s="1116">
        <v>3.394587956668562E-2</v>
      </c>
      <c r="AU1649" s="1116">
        <v>3.9252664356826394E-2</v>
      </c>
      <c r="AV1649" s="1116">
        <f t="shared" ca="1" si="113"/>
        <v>3.9252664356826394E-2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>
        <v>-9.5238095238095344E-2</v>
      </c>
      <c r="U1650" s="1116">
        <v>-0.14285714285714302</v>
      </c>
      <c r="V1650" s="1116">
        <v>-0.19047619047619069</v>
      </c>
      <c r="W1650" s="1116">
        <v>1.1337868480725648E-2</v>
      </c>
      <c r="X1650" s="1116">
        <v>1.3605442176870777E-2</v>
      </c>
      <c r="Y1650" s="1116">
        <v>5.2154195011337889E-2</v>
      </c>
      <c r="Z1650" s="1116">
        <f t="shared" ca="1" si="112"/>
        <v>5.2154195011337889E-2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>
        <v>-0.14569536423841078</v>
      </c>
      <c r="AQ1650" s="1116">
        <v>-0.21854304635761618</v>
      </c>
      <c r="AR1650" s="1116">
        <v>-0.29139072847682157</v>
      </c>
      <c r="AS1650" s="1116">
        <v>3.0744265602385905E-2</v>
      </c>
      <c r="AT1650" s="1116">
        <v>3.8156221218367661E-2</v>
      </c>
      <c r="AU1650" s="1116">
        <v>5.0480242094644974E-2</v>
      </c>
      <c r="AV1650" s="1116">
        <f t="shared" ca="1" si="113"/>
        <v>5.0480242094644974E-2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>
        <v>-0.2857142857142857</v>
      </c>
      <c r="U1651" s="1116">
        <v>-0.42857142857142855</v>
      </c>
      <c r="V1651" s="1116">
        <v>-0.76190476190476197</v>
      </c>
      <c r="W1651" s="1116">
        <v>0.21088435374149664</v>
      </c>
      <c r="X1651" s="1116">
        <v>0.26757369614512477</v>
      </c>
      <c r="Y1651" s="1116">
        <v>0.32426303854875294</v>
      </c>
      <c r="Z1651" s="1116">
        <f t="shared" ca="1" si="112"/>
        <v>0.32426303854875294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>
        <v>-0.38410596026490051</v>
      </c>
      <c r="AQ1651" s="1116">
        <v>-0.57615894039735083</v>
      </c>
      <c r="AR1651" s="1116">
        <v>-0.79470198675496673</v>
      </c>
      <c r="AS1651" s="1116">
        <v>0.18968466295337916</v>
      </c>
      <c r="AT1651" s="1116">
        <v>0.22656901013113451</v>
      </c>
      <c r="AU1651" s="1116">
        <v>0.26345335730888986</v>
      </c>
      <c r="AV1651" s="1116">
        <f t="shared" ca="1" si="113"/>
        <v>0.26345335730888986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>
        <v>9.5238095238095344E-2</v>
      </c>
      <c r="U1652" s="1116">
        <v>0.14285714285714302</v>
      </c>
      <c r="V1652" s="1116">
        <v>-0.19047619047619035</v>
      </c>
      <c r="W1652" s="1116">
        <v>0.13832199546485263</v>
      </c>
      <c r="X1652" s="1116">
        <v>0.19501133786848077</v>
      </c>
      <c r="Y1652" s="1116">
        <v>0.2517006802721089</v>
      </c>
      <c r="Z1652" s="1116">
        <f t="shared" ca="1" si="112"/>
        <v>0.2517006802721089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>
        <v>9.27152317880795E-2</v>
      </c>
      <c r="AQ1652" s="1116">
        <v>0.13907284768211925</v>
      </c>
      <c r="AR1652" s="1116">
        <v>0.1589403973509933</v>
      </c>
      <c r="AS1652" s="1116">
        <v>7.5873865181351622E-3</v>
      </c>
      <c r="AT1652" s="1116">
        <v>8.6838296565939985E-3</v>
      </c>
      <c r="AU1652" s="1116">
        <v>9.7802727950528339E-3</v>
      </c>
      <c r="AV1652" s="1116">
        <f t="shared" ca="1" si="113"/>
        <v>9.7802727950528339E-3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>
        <v>0.47619047619047628</v>
      </c>
      <c r="U1653" s="1116">
        <v>0.71428571428571441</v>
      </c>
      <c r="V1653" s="1116">
        <v>0.76190476190476186</v>
      </c>
      <c r="W1653" s="1116">
        <v>0.24716553287981863</v>
      </c>
      <c r="X1653" s="1116">
        <v>0.30385487528344679</v>
      </c>
      <c r="Y1653" s="1116">
        <v>0.3605442176870749</v>
      </c>
      <c r="Z1653" s="1116">
        <f t="shared" ref="Z1653:Z1681" ca="1" si="114">SUMPRODUCT(F1554:Z1554,F1554:Z1554)</f>
        <v>0.3605442176870749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>
        <v>1.3245033112582849E-2</v>
      </c>
      <c r="AQ1653" s="1116">
        <v>1.9867549668874274E-2</v>
      </c>
      <c r="AR1653" s="1116">
        <v>5.2980132450331396E-2</v>
      </c>
      <c r="AS1653" s="1116">
        <v>1.2718740406122667E-3</v>
      </c>
      <c r="AT1653" s="1116">
        <v>1.666593570457453E-3</v>
      </c>
      <c r="AU1653" s="1116">
        <v>2.0613131003026394E-3</v>
      </c>
      <c r="AV1653" s="1116">
        <f t="shared" ref="AV1653:AV1681" ca="1" si="115">SUMPRODUCT(AB1555:AV1555,AB1555:AV1555)</f>
        <v>2.0613131003026394E-3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>
        <v>0.66666666666666652</v>
      </c>
      <c r="U1654" s="1116">
        <v>0.99999999999999978</v>
      </c>
      <c r="V1654" s="1116">
        <v>1.333333333333333</v>
      </c>
      <c r="W1654" s="1116">
        <v>0.55555555555555536</v>
      </c>
      <c r="X1654" s="1116">
        <v>0.66666666666666641</v>
      </c>
      <c r="Y1654" s="1116">
        <v>0.66893424036281157</v>
      </c>
      <c r="Z1654" s="1116">
        <f t="shared" ca="1" si="114"/>
        <v>0.66893424036281157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>
        <v>-3.9735099337748214E-2</v>
      </c>
      <c r="AQ1654" s="1116">
        <v>-5.9602649006622321E-2</v>
      </c>
      <c r="AR1654" s="1116">
        <v>-5.2980132450331063E-2</v>
      </c>
      <c r="AS1654" s="1116">
        <v>9.2101223630542133E-4</v>
      </c>
      <c r="AT1654" s="1116">
        <v>9.6486996184377534E-4</v>
      </c>
      <c r="AU1654" s="1116">
        <v>1.0087276873821294E-3</v>
      </c>
      <c r="AV1654" s="1116">
        <f t="shared" ca="1" si="115"/>
        <v>1.0087276873821294E-3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>
        <v>-0.2857142857142857</v>
      </c>
      <c r="U1655" s="1116">
        <v>-0.42857142857142855</v>
      </c>
      <c r="V1655" s="1116">
        <v>-0.38095238095238104</v>
      </c>
      <c r="W1655" s="1116">
        <v>2.0430839002267573</v>
      </c>
      <c r="X1655" s="1116">
        <v>1.0476190476190474</v>
      </c>
      <c r="Y1655" s="1116">
        <v>1.0498866213151925</v>
      </c>
      <c r="Z1655" s="1116">
        <f t="shared" ca="1" si="114"/>
        <v>1.0498866213151925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>
        <v>-0.4370860927152318</v>
      </c>
      <c r="AQ1655" s="1116">
        <v>-0.6556291390728477</v>
      </c>
      <c r="AR1655" s="1116">
        <v>-0.8211920529801322</v>
      </c>
      <c r="AS1655" s="1116">
        <v>2.1324064734002892</v>
      </c>
      <c r="AT1655" s="1116">
        <v>1.2061751677558001</v>
      </c>
      <c r="AU1655" s="1116">
        <v>1.2430595149335555</v>
      </c>
      <c r="AV1655" s="1116">
        <f t="shared" ca="1" si="115"/>
        <v>1.2430595149335555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>
        <v>-0.2857142857142857</v>
      </c>
      <c r="U1656" s="1116">
        <v>-0.42857142857142855</v>
      </c>
      <c r="V1656" s="1116">
        <v>-0.38095238095238104</v>
      </c>
      <c r="W1656" s="1116">
        <v>4.761904761904763E-2</v>
      </c>
      <c r="X1656" s="1116">
        <v>4.988662131519276E-2</v>
      </c>
      <c r="Y1656" s="1116">
        <v>5.2154195011337889E-2</v>
      </c>
      <c r="Z1656" s="1116">
        <f t="shared" ca="1" si="114"/>
        <v>5.2154195011337889E-2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>
        <v>-9.27152317880795E-2</v>
      </c>
      <c r="AQ1656" s="1116">
        <v>-0.13907284768211925</v>
      </c>
      <c r="AR1656" s="1116">
        <v>-0.21192052980132459</v>
      </c>
      <c r="AS1656" s="1116">
        <v>1.4955484408578582E-2</v>
      </c>
      <c r="AT1656" s="1116">
        <v>1.8507960177185225E-2</v>
      </c>
      <c r="AU1656" s="1116">
        <v>2.2060435945791868E-2</v>
      </c>
      <c r="AV1656" s="1116">
        <f t="shared" ca="1" si="115"/>
        <v>2.2060435945791868E-2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>
        <v>9.5238095238095344E-2</v>
      </c>
      <c r="U1657" s="1116">
        <v>0.14285714285714302</v>
      </c>
      <c r="V1657" s="1116">
        <v>0.19047619047619069</v>
      </c>
      <c r="W1657" s="1116">
        <v>1.1337868480725648E-2</v>
      </c>
      <c r="X1657" s="1116">
        <v>1.3605442176870777E-2</v>
      </c>
      <c r="Y1657" s="1116">
        <v>1.5873015873015907E-2</v>
      </c>
      <c r="Z1657" s="1116">
        <f t="shared" ca="1" si="114"/>
        <v>1.5873015873015907E-2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>
        <v>0.17218543046357615</v>
      </c>
      <c r="AQ1657" s="1116">
        <v>0.25827814569536423</v>
      </c>
      <c r="AR1657" s="1116">
        <v>0.370860927152318</v>
      </c>
      <c r="AS1657" s="1116">
        <v>4.4427875970352214E-2</v>
      </c>
      <c r="AT1657" s="1116">
        <v>5.4295864216481783E-2</v>
      </c>
      <c r="AU1657" s="1116">
        <v>6.4163852462611345E-2</v>
      </c>
      <c r="AV1657" s="1116">
        <f t="shared" ca="1" si="115"/>
        <v>6.4163852462611345E-2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>
        <v>0.85714285714285721</v>
      </c>
      <c r="U1658" s="1116">
        <v>1.2857142857142858</v>
      </c>
      <c r="V1658" s="1116">
        <v>1.9047619047619047</v>
      </c>
      <c r="W1658" s="1116">
        <v>1.1904761904761902</v>
      </c>
      <c r="X1658" s="1116">
        <v>1.4648526077097501</v>
      </c>
      <c r="Y1658" s="1116">
        <v>1.73922902494331</v>
      </c>
      <c r="Z1658" s="1116">
        <f t="shared" ca="1" si="114"/>
        <v>1.73922902494331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>
        <v>0.35761589403973515</v>
      </c>
      <c r="AQ1658" s="1116">
        <v>0.53642384105960272</v>
      </c>
      <c r="AR1658" s="1116">
        <v>0.741721854304636</v>
      </c>
      <c r="AS1658" s="1116">
        <v>0.17459760536818575</v>
      </c>
      <c r="AT1658" s="1116">
        <v>0.21148195254594115</v>
      </c>
      <c r="AU1658" s="1116">
        <v>0.24836629972369656</v>
      </c>
      <c r="AV1658" s="1116">
        <f t="shared" ca="1" si="115"/>
        <v>0.24836629972369656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>
        <v>-0.47619047619047628</v>
      </c>
      <c r="U1659" s="1116">
        <v>-0.71428571428571441</v>
      </c>
      <c r="V1659" s="1116">
        <v>-0.76190476190476186</v>
      </c>
      <c r="W1659" s="1116">
        <v>0.17460317460317462</v>
      </c>
      <c r="X1659" s="1116">
        <v>0.19501133786848074</v>
      </c>
      <c r="Y1659" s="1116">
        <v>0.21541950113378686</v>
      </c>
      <c r="Z1659" s="1116">
        <f t="shared" ca="1" si="114"/>
        <v>0.21541950113378686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>
        <v>-0.14569536423841078</v>
      </c>
      <c r="AQ1659" s="1116">
        <v>-0.21854304635761618</v>
      </c>
      <c r="AR1659" s="1116">
        <v>-0.29139072847682157</v>
      </c>
      <c r="AS1659" s="1116">
        <v>2.6533923950703982E-2</v>
      </c>
      <c r="AT1659" s="1116">
        <v>3.1840708740844777E-2</v>
      </c>
      <c r="AU1659" s="1116">
        <v>3.7147493530985572E-2</v>
      </c>
      <c r="AV1659" s="1116">
        <f t="shared" ca="1" si="115"/>
        <v>3.7147493530985572E-2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>
        <v>-9.5238095238095344E-2</v>
      </c>
      <c r="U1660" s="1116">
        <v>-0.14285714285714302</v>
      </c>
      <c r="V1660" s="1116">
        <v>0</v>
      </c>
      <c r="W1660" s="1116">
        <v>4.7619047619047596E-2</v>
      </c>
      <c r="X1660" s="1116">
        <v>3.1746031746031751E-2</v>
      </c>
      <c r="Y1660" s="1116">
        <v>3.4013605442176881E-2</v>
      </c>
      <c r="Z1660" s="1116">
        <f t="shared" ca="1" si="114"/>
        <v>3.4013605442176881E-2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>
        <v>-9.27152317880795E-2</v>
      </c>
      <c r="AQ1660" s="1116">
        <v>-0.13907284768211925</v>
      </c>
      <c r="AR1660" s="1116">
        <v>-0.21192052980132459</v>
      </c>
      <c r="AS1660" s="1116">
        <v>1.2148589974123949E-2</v>
      </c>
      <c r="AT1660" s="1116">
        <v>1.4297618525503276E-2</v>
      </c>
      <c r="AU1660" s="1116">
        <v>1.434147625104162E-2</v>
      </c>
      <c r="AV1660" s="1116">
        <f t="shared" ca="1" si="115"/>
        <v>1.434147625104162E-2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>
        <v>0.47619047619047628</v>
      </c>
      <c r="U1661" s="1116">
        <v>0.71428571428571441</v>
      </c>
      <c r="V1661" s="1116">
        <v>0.95238095238095255</v>
      </c>
      <c r="W1661" s="1116">
        <v>0.39229024943310653</v>
      </c>
      <c r="X1661" s="1116">
        <v>0.50340136054421758</v>
      </c>
      <c r="Y1661" s="1116">
        <v>0.61451247165532863</v>
      </c>
      <c r="Z1661" s="1116">
        <f t="shared" ca="1" si="114"/>
        <v>0.61451247165532863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>
        <v>0.38410596026490085</v>
      </c>
      <c r="AQ1661" s="1116">
        <v>0.57615894039735127</v>
      </c>
      <c r="AR1661" s="1116">
        <v>0.7682119205298017</v>
      </c>
      <c r="AS1661" s="1116">
        <v>0.184421735888777</v>
      </c>
      <c r="AT1661" s="1116">
        <v>0.22130608306653241</v>
      </c>
      <c r="AU1661" s="1116">
        <v>0.25819043024428778</v>
      </c>
      <c r="AV1661" s="1116">
        <f t="shared" ca="1" si="115"/>
        <v>0.25819043024428778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>
        <v>-0.2857142857142857</v>
      </c>
      <c r="U1662" s="1116">
        <v>-0.42857142857142855</v>
      </c>
      <c r="V1662" s="1116">
        <v>-0.76190476190476197</v>
      </c>
      <c r="W1662" s="1116">
        <v>0.1383219954648526</v>
      </c>
      <c r="X1662" s="1116">
        <v>0.15873015873015872</v>
      </c>
      <c r="Y1662" s="1116">
        <v>0.17913832199546484</v>
      </c>
      <c r="Z1662" s="1116">
        <f t="shared" ca="1" si="114"/>
        <v>0.17913832199546484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>
        <v>-1.3245033112582849E-2</v>
      </c>
      <c r="AQ1662" s="1116">
        <v>-1.9867549668874274E-2</v>
      </c>
      <c r="AR1662" s="1116">
        <v>-2.6490066225165698E-2</v>
      </c>
      <c r="AS1662" s="1116">
        <v>2.1928862769177013E-4</v>
      </c>
      <c r="AT1662" s="1116">
        <v>2.6314635323012415E-4</v>
      </c>
      <c r="AU1662" s="1116">
        <v>3.0700407876847817E-4</v>
      </c>
      <c r="AV1662" s="1116">
        <f t="shared" ca="1" si="115"/>
        <v>3.0700407876847817E-4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>
        <v>0.47619047619047628</v>
      </c>
      <c r="U1663" s="1116">
        <v>0.71428571428571441</v>
      </c>
      <c r="V1663" s="1116">
        <v>-1.5238095238095237</v>
      </c>
      <c r="W1663" s="1116">
        <v>1.1179138321995463</v>
      </c>
      <c r="X1663" s="1116">
        <v>1.1201814058956914</v>
      </c>
      <c r="Y1663" s="1116">
        <v>1.1224489795918364</v>
      </c>
      <c r="Z1663" s="1116">
        <f t="shared" ca="1" si="114"/>
        <v>1.1224489795918364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>
        <v>0.19867549668874185</v>
      </c>
      <c r="AQ1663" s="1116">
        <v>0.29801324503311277</v>
      </c>
      <c r="AR1663" s="1116">
        <v>-1.8013245033112582</v>
      </c>
      <c r="AS1663" s="1116">
        <v>1.0394719529845184</v>
      </c>
      <c r="AT1663" s="1116">
        <v>1.0493399412306481</v>
      </c>
      <c r="AU1663" s="1116">
        <v>1.0592079294767778</v>
      </c>
      <c r="AV1663" s="1116">
        <f t="shared" ca="1" si="115"/>
        <v>1.0592079294767778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>
        <v>0.47619047619047628</v>
      </c>
      <c r="U1664" s="1116">
        <v>0.71428571428571441</v>
      </c>
      <c r="V1664" s="1116">
        <v>0.76190476190476186</v>
      </c>
      <c r="W1664" s="1116">
        <v>0.17460317460317454</v>
      </c>
      <c r="X1664" s="1116">
        <v>0.19501133786848063</v>
      </c>
      <c r="Y1664" s="1116">
        <v>0.21541950113378672</v>
      </c>
      <c r="Z1664" s="1116">
        <f t="shared" ca="1" si="114"/>
        <v>0.21541950113378672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>
        <v>0.4105960264900661</v>
      </c>
      <c r="AQ1664" s="1116">
        <v>0.61589403973509915</v>
      </c>
      <c r="AR1664" s="1116">
        <v>0.8211920529801322</v>
      </c>
      <c r="AS1664" s="1116">
        <v>0.21073637121178881</v>
      </c>
      <c r="AT1664" s="1116">
        <v>0.2528836454541466</v>
      </c>
      <c r="AU1664" s="1116">
        <v>0.29503091969650436</v>
      </c>
      <c r="AV1664" s="1116">
        <f t="shared" ca="1" si="115"/>
        <v>0.29503091969650436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>
        <v>-0.47619047619047628</v>
      </c>
      <c r="U1665" s="1116">
        <v>-0.71428571428571441</v>
      </c>
      <c r="V1665" s="1116">
        <v>-0.57142857142857162</v>
      </c>
      <c r="W1665" s="1116">
        <v>0.15646258503401364</v>
      </c>
      <c r="X1665" s="1116">
        <v>0.17687074829931976</v>
      </c>
      <c r="Y1665" s="1116">
        <v>0.19727891156462588</v>
      </c>
      <c r="Z1665" s="1116">
        <f t="shared" ca="1" si="114"/>
        <v>0.19727891156462588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>
        <v>-9.27152317880795E-2</v>
      </c>
      <c r="AQ1665" s="1116">
        <v>-0.13907284768211925</v>
      </c>
      <c r="AR1665" s="1116">
        <v>-0.1589403973509933</v>
      </c>
      <c r="AS1665" s="1116">
        <v>7.5873865181351622E-3</v>
      </c>
      <c r="AT1665" s="1116">
        <v>8.6838296565939985E-3</v>
      </c>
      <c r="AU1665" s="1116">
        <v>9.7802727950528339E-3</v>
      </c>
      <c r="AV1665" s="1116">
        <f t="shared" ca="1" si="115"/>
        <v>9.7802727950528339E-3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>
        <v>9.5238095238095344E-2</v>
      </c>
      <c r="U1666" s="1116">
        <v>0.14285714285714302</v>
      </c>
      <c r="V1666" s="1116">
        <v>0.19047619047619069</v>
      </c>
      <c r="W1666" s="1116">
        <v>1.1337868480725648E-2</v>
      </c>
      <c r="X1666" s="1116">
        <v>1.3605442176870777E-2</v>
      </c>
      <c r="Y1666" s="1116">
        <v>1.5873015873015907E-2</v>
      </c>
      <c r="Z1666" s="1116">
        <f t="shared" ca="1" si="114"/>
        <v>1.5873015873015907E-2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>
        <v>0.19867549668874185</v>
      </c>
      <c r="AQ1666" s="1116">
        <v>0.29801324503311277</v>
      </c>
      <c r="AR1666" s="1116">
        <v>0.3973509933774837</v>
      </c>
      <c r="AS1666" s="1116">
        <v>5.4953730099557029E-2</v>
      </c>
      <c r="AT1666" s="1116">
        <v>6.7628612780141192E-2</v>
      </c>
      <c r="AU1666" s="1116">
        <v>8.0303495460725349E-2</v>
      </c>
      <c r="AV1666" s="1116">
        <f t="shared" ca="1" si="115"/>
        <v>8.0303495460725349E-2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>
        <v>-0.47619047619047628</v>
      </c>
      <c r="U1667" s="1116">
        <v>-0.71428571428571441</v>
      </c>
      <c r="V1667" s="1116">
        <v>-0.95238095238095255</v>
      </c>
      <c r="W1667" s="1116">
        <v>0.39229024943310675</v>
      </c>
      <c r="X1667" s="1116">
        <v>0.50340136054421791</v>
      </c>
      <c r="Y1667" s="1116">
        <v>0.61451247165532907</v>
      </c>
      <c r="Z1667" s="1116">
        <f t="shared" ca="1" si="114"/>
        <v>0.61451247165532907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>
        <v>-0.30463576158940409</v>
      </c>
      <c r="AQ1667" s="1116">
        <v>-0.45695364238410613</v>
      </c>
      <c r="AR1667" s="1116">
        <v>-0.60927152317880817</v>
      </c>
      <c r="AS1667" s="1116">
        <v>0.12442436735230913</v>
      </c>
      <c r="AT1667" s="1116">
        <v>0.15183544581378011</v>
      </c>
      <c r="AU1667" s="1116">
        <v>0.17924652427525109</v>
      </c>
      <c r="AV1667" s="1116">
        <f t="shared" ca="1" si="115"/>
        <v>0.17924652427525109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>
        <v>-0.47619047619047628</v>
      </c>
      <c r="U1668" s="1116">
        <v>-0.71428571428571441</v>
      </c>
      <c r="V1668" s="1116">
        <v>-0.57142857142857162</v>
      </c>
      <c r="W1668" s="1116">
        <v>0.15646258503401364</v>
      </c>
      <c r="X1668" s="1116">
        <v>0.17687074829931976</v>
      </c>
      <c r="Y1668" s="1116">
        <v>0.19727891156462588</v>
      </c>
      <c r="Z1668" s="1116">
        <f t="shared" ca="1" si="114"/>
        <v>0.19727891156462588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>
        <v>9.27152317880795E-2</v>
      </c>
      <c r="AQ1668" s="1116">
        <v>0.13907284768211925</v>
      </c>
      <c r="AR1668" s="1116">
        <v>0.23841059602648995</v>
      </c>
      <c r="AS1668" s="1116">
        <v>2.0218411473180972E-2</v>
      </c>
      <c r="AT1668" s="1116">
        <v>2.5525196263321746E-2</v>
      </c>
      <c r="AU1668" s="1116">
        <v>3.083198105346252E-2</v>
      </c>
      <c r="AV1668" s="1116">
        <f t="shared" ca="1" si="115"/>
        <v>3.083198105346252E-2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>
        <v>0.28571428571428559</v>
      </c>
      <c r="U1669" s="1116">
        <v>0.42857142857142838</v>
      </c>
      <c r="V1669" s="1116">
        <v>0.57142857142857117</v>
      </c>
      <c r="W1669" s="1116">
        <v>6.575963718820857E-2</v>
      </c>
      <c r="X1669" s="1116">
        <v>6.8027210884353706E-2</v>
      </c>
      <c r="Y1669" s="1116">
        <v>7.0294784580498842E-2</v>
      </c>
      <c r="Z1669" s="1116">
        <f t="shared" ca="1" si="114"/>
        <v>7.0294784580498842E-2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>
        <v>0.2781456953642385</v>
      </c>
      <c r="AQ1669" s="1116">
        <v>0.41721854304635775</v>
      </c>
      <c r="AR1669" s="1116">
        <v>0.5298013245033113</v>
      </c>
      <c r="AS1669" s="1116">
        <v>8.6180430682864795E-2</v>
      </c>
      <c r="AT1669" s="1116">
        <v>0.10201306960221043</v>
      </c>
      <c r="AU1669" s="1116">
        <v>0.11784570852155607</v>
      </c>
      <c r="AV1669" s="1116">
        <f t="shared" ca="1" si="115"/>
        <v>0.11784570852155607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>
        <v>9.5238095238095344E-2</v>
      </c>
      <c r="U1670" s="1116">
        <v>0.14285714285714302</v>
      </c>
      <c r="V1670" s="1116">
        <v>0</v>
      </c>
      <c r="W1670" s="1116">
        <v>1.1337868480725648E-2</v>
      </c>
      <c r="X1670" s="1116">
        <v>1.3605442176870777E-2</v>
      </c>
      <c r="Y1670" s="1116">
        <v>1.5873015873015907E-2</v>
      </c>
      <c r="Z1670" s="1116">
        <f t="shared" ca="1" si="114"/>
        <v>1.5873015873015907E-2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>
        <v>-0.2781456953642385</v>
      </c>
      <c r="AQ1670" s="1116">
        <v>-0.41721854304635775</v>
      </c>
      <c r="AR1670" s="1116">
        <v>-0.556291390728477</v>
      </c>
      <c r="AS1670" s="1116">
        <v>8.9689048725933099E-2</v>
      </c>
      <c r="AT1670" s="1116">
        <v>0.10552168764527874</v>
      </c>
      <c r="AU1670" s="1116">
        <v>0.12135432656462437</v>
      </c>
      <c r="AV1670" s="1116">
        <f t="shared" ca="1" si="115"/>
        <v>0.12135432656462437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>
        <v>1.0476190476190474</v>
      </c>
      <c r="U1671" s="1116">
        <v>1.5714285714285712</v>
      </c>
      <c r="V1671" s="1116">
        <v>2.0952380952380949</v>
      </c>
      <c r="W1671" s="1116">
        <v>1.1904761904761902</v>
      </c>
      <c r="X1671" s="1116">
        <v>1.3741496598639453</v>
      </c>
      <c r="Y1671" s="1116">
        <v>1.5578231292517004</v>
      </c>
      <c r="Z1671" s="1116">
        <f t="shared" ca="1" si="114"/>
        <v>1.5578231292517004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>
        <v>0.30463576158940375</v>
      </c>
      <c r="AQ1671" s="1116">
        <v>0.45695364238410563</v>
      </c>
      <c r="AR1671" s="1116">
        <v>0.58278145695364225</v>
      </c>
      <c r="AS1671" s="1116">
        <v>0.10442524450681984</v>
      </c>
      <c r="AT1671" s="1116">
        <v>0.12376650146923378</v>
      </c>
      <c r="AU1671" s="1116">
        <v>0.14310775843164772</v>
      </c>
      <c r="AV1671" s="1116">
        <f t="shared" ca="1" si="115"/>
        <v>0.14310775843164772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>
        <v>0.47619047619047628</v>
      </c>
      <c r="U1672" s="1116">
        <v>0.71428571428571441</v>
      </c>
      <c r="V1672" s="1116">
        <v>0.76190476190476186</v>
      </c>
      <c r="W1672" s="1116">
        <v>0.17460317460317454</v>
      </c>
      <c r="X1672" s="1116">
        <v>0.19501133786848063</v>
      </c>
      <c r="Y1672" s="1116">
        <v>0.21541950113378672</v>
      </c>
      <c r="Z1672" s="1116">
        <f t="shared" ca="1" si="114"/>
        <v>0.21541950113378672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>
        <v>9.27152317880795E-2</v>
      </c>
      <c r="AQ1672" s="1116">
        <v>0.13907284768211925</v>
      </c>
      <c r="AR1672" s="1116">
        <v>0.13245033112582805</v>
      </c>
      <c r="AS1672" s="1116">
        <v>5.482215692294211E-3</v>
      </c>
      <c r="AT1672" s="1116">
        <v>5.876935222139397E-3</v>
      </c>
      <c r="AU1672" s="1116">
        <v>6.2716547519845829E-3</v>
      </c>
      <c r="AV1672" s="1116">
        <f t="shared" ca="1" si="115"/>
        <v>6.2716547519845829E-3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>
        <v>0.66666666666666652</v>
      </c>
      <c r="U1673" s="1116">
        <v>0.99999999999999978</v>
      </c>
      <c r="V1673" s="1116">
        <v>1.1428571428571428</v>
      </c>
      <c r="W1673" s="1116">
        <v>0.31972789115646244</v>
      </c>
      <c r="X1673" s="1116">
        <v>0.34013605442176853</v>
      </c>
      <c r="Y1673" s="1116">
        <v>0.36054421768707462</v>
      </c>
      <c r="Z1673" s="1116">
        <f t="shared" ca="1" si="114"/>
        <v>0.36054421768707462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>
        <v>6.6225165562913801E-2</v>
      </c>
      <c r="AQ1673" s="1116">
        <v>9.9337748344370702E-2</v>
      </c>
      <c r="AR1673" s="1116">
        <v>0.10596026490066235</v>
      </c>
      <c r="AS1673" s="1116">
        <v>3.3770448664532313E-3</v>
      </c>
      <c r="AT1673" s="1116">
        <v>3.7717643962984176E-3</v>
      </c>
      <c r="AU1673" s="1116">
        <v>4.166483926143604E-3</v>
      </c>
      <c r="AV1673" s="1116">
        <f t="shared" ca="1" si="115"/>
        <v>4.166483926143604E-3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>
        <v>0.28571428571428559</v>
      </c>
      <c r="U1674" s="1116">
        <v>0.42857142857142838</v>
      </c>
      <c r="V1674" s="1116">
        <v>0.57142857142857117</v>
      </c>
      <c r="W1674" s="1116">
        <v>0.10204081632653052</v>
      </c>
      <c r="X1674" s="1116">
        <v>0.12244897959183662</v>
      </c>
      <c r="Y1674" s="1116">
        <v>0.14285714285714274</v>
      </c>
      <c r="Z1674" s="1116">
        <f t="shared" ca="1" si="114"/>
        <v>0.14285714285714274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>
        <v>-1.3245033112582849E-2</v>
      </c>
      <c r="AQ1674" s="1116">
        <v>-1.9867549668874274E-2</v>
      </c>
      <c r="AR1674" s="1116">
        <v>-2.6490066225165698E-2</v>
      </c>
      <c r="AS1674" s="1116">
        <v>2.1928862769177013E-4</v>
      </c>
      <c r="AT1674" s="1116">
        <v>2.6314635323012415E-4</v>
      </c>
      <c r="AU1674" s="1116">
        <v>3.0700407876847817E-4</v>
      </c>
      <c r="AV1674" s="1116">
        <f t="shared" ca="1" si="115"/>
        <v>3.0700407876847817E-4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>
        <v>-9.5238095238095344E-2</v>
      </c>
      <c r="U1675" s="1116">
        <v>-0.14285714285714302</v>
      </c>
      <c r="V1675" s="1116">
        <v>-0.19047619047619069</v>
      </c>
      <c r="W1675" s="1116">
        <v>4.761904761904763E-2</v>
      </c>
      <c r="X1675" s="1116">
        <v>3.1746031746031772E-2</v>
      </c>
      <c r="Y1675" s="1116">
        <v>3.4013605442176902E-2</v>
      </c>
      <c r="Z1675" s="1116">
        <f t="shared" ca="1" si="114"/>
        <v>3.4013605442176902E-2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>
        <v>-0.19867549668874152</v>
      </c>
      <c r="AQ1675" s="1116">
        <v>-0.29801324503311227</v>
      </c>
      <c r="AR1675" s="1116">
        <v>-0.39735099337748303</v>
      </c>
      <c r="AS1675" s="1116">
        <v>5.4953730099556959E-2</v>
      </c>
      <c r="AT1675" s="1116">
        <v>6.2014823911231851E-2</v>
      </c>
      <c r="AU1675" s="1116">
        <v>7.1882812157361392E-2</v>
      </c>
      <c r="AV1675" s="1116">
        <f t="shared" ca="1" si="115"/>
        <v>7.1882812157361392E-2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>
        <v>9.5238095238095344E-2</v>
      </c>
      <c r="U1676" s="1116">
        <v>0.14285714285714302</v>
      </c>
      <c r="V1676" s="1116">
        <v>0.19047619047619069</v>
      </c>
      <c r="W1676" s="1116">
        <v>4.7619047619047596E-2</v>
      </c>
      <c r="X1676" s="1116">
        <v>6.8027210884353706E-2</v>
      </c>
      <c r="Y1676" s="1116">
        <v>8.8435374149659809E-2</v>
      </c>
      <c r="Z1676" s="1116">
        <f t="shared" ca="1" si="114"/>
        <v>8.8435374149659809E-2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>
        <v>0.19867549668874185</v>
      </c>
      <c r="AQ1676" s="1116">
        <v>0.29801324503311277</v>
      </c>
      <c r="AR1676" s="1116">
        <v>0.370860927152318</v>
      </c>
      <c r="AS1676" s="1116">
        <v>4.6883908600500027E-2</v>
      </c>
      <c r="AT1676" s="1116">
        <v>5.6751896846629596E-2</v>
      </c>
      <c r="AU1676" s="1116">
        <v>6.6619885092759165E-2</v>
      </c>
      <c r="AV1676" s="1116">
        <f t="shared" ca="1" si="115"/>
        <v>6.6619885092759165E-2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>
        <v>-0.47619047619047628</v>
      </c>
      <c r="U1677" s="1116">
        <v>-0.71428571428571441</v>
      </c>
      <c r="V1677" s="1116">
        <v>-1.1428571428571432</v>
      </c>
      <c r="W1677" s="1116">
        <v>0.44671201814058975</v>
      </c>
      <c r="X1677" s="1116">
        <v>0.55782312925170097</v>
      </c>
      <c r="Y1677" s="1116">
        <v>0.66893424036281213</v>
      </c>
      <c r="Z1677" s="1116">
        <f t="shared" ca="1" si="114"/>
        <v>0.66893424036281213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>
        <v>0.17218543046357615</v>
      </c>
      <c r="AQ1677" s="1116">
        <v>0.25827814569536423</v>
      </c>
      <c r="AR1677" s="1116">
        <v>0.3178807947019866</v>
      </c>
      <c r="AS1677" s="1116">
        <v>3.0744265602385829E-2</v>
      </c>
      <c r="AT1677" s="1116">
        <v>3.6051050392526603E-2</v>
      </c>
      <c r="AU1677" s="1116">
        <v>4.1357835182667377E-2</v>
      </c>
      <c r="AV1677" s="1116">
        <f t="shared" ca="1" si="115"/>
        <v>4.1357835182667377E-2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>
        <v>0.85714285714285721</v>
      </c>
      <c r="U1678" s="1116">
        <v>1.2857142857142858</v>
      </c>
      <c r="V1678" s="1116">
        <v>1.7142857142857144</v>
      </c>
      <c r="W1678" s="1116">
        <v>0.91836734693877564</v>
      </c>
      <c r="X1678" s="1116">
        <v>1.1020408163265307</v>
      </c>
      <c r="Y1678" s="1116">
        <v>1.2857142857142858</v>
      </c>
      <c r="Z1678" s="1116">
        <f t="shared" ca="1" si="114"/>
        <v>1.2857142857142858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>
        <v>0.33112582781456945</v>
      </c>
      <c r="AQ1678" s="1116">
        <v>0.49668874172185418</v>
      </c>
      <c r="AR1678" s="1116">
        <v>0.6622516556291389</v>
      </c>
      <c r="AS1678" s="1116">
        <v>0.14617779921933244</v>
      </c>
      <c r="AT1678" s="1116">
        <v>0.1781500811367922</v>
      </c>
      <c r="AU1678" s="1116">
        <v>0.21012236305425197</v>
      </c>
      <c r="AV1678" s="1116">
        <f t="shared" ca="1" si="115"/>
        <v>0.21012236305425197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>
        <v>-0.85714285714285721</v>
      </c>
      <c r="U1679" s="1116">
        <v>-1.2857142857142858</v>
      </c>
      <c r="V1679" s="1116">
        <v>-1.9047619047619047</v>
      </c>
      <c r="W1679" s="1116">
        <v>1.0090702947845804</v>
      </c>
      <c r="X1679" s="1116">
        <v>1.1927437641723355</v>
      </c>
      <c r="Y1679" s="1116">
        <v>1.3764172335600906</v>
      </c>
      <c r="Z1679" s="1116">
        <f t="shared" ca="1" si="114"/>
        <v>1.3764172335600906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>
        <v>1.3245033112582849E-2</v>
      </c>
      <c r="AQ1679" s="1116">
        <v>1.9867549668874274E-2</v>
      </c>
      <c r="AR1679" s="1116">
        <v>0</v>
      </c>
      <c r="AS1679" s="1116">
        <v>2.1928862769177013E-4</v>
      </c>
      <c r="AT1679" s="1116">
        <v>2.6314635323012415E-4</v>
      </c>
      <c r="AU1679" s="1116">
        <v>3.0700407876847817E-4</v>
      </c>
      <c r="AV1679" s="1116">
        <f t="shared" ca="1" si="115"/>
        <v>3.0700407876847817E-4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>
        <v>-2</v>
      </c>
      <c r="U1680" s="1116">
        <v>-3</v>
      </c>
      <c r="V1680" s="1116">
        <v>-4</v>
      </c>
      <c r="W1680" s="1116">
        <v>5</v>
      </c>
      <c r="X1680" s="1116">
        <v>6</v>
      </c>
      <c r="Y1680" s="1116">
        <v>7</v>
      </c>
      <c r="Z1680" s="1116">
        <f t="shared" ca="1" si="114"/>
        <v>7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>
        <v>-2</v>
      </c>
      <c r="AQ1680" s="1116">
        <v>-3</v>
      </c>
      <c r="AR1680" s="1116">
        <v>-4</v>
      </c>
      <c r="AS1680" s="1116">
        <v>5</v>
      </c>
      <c r="AT1680" s="1116">
        <v>6</v>
      </c>
      <c r="AU1680" s="1116">
        <v>7</v>
      </c>
      <c r="AV1680" s="1116">
        <f t="shared" ca="1" si="115"/>
        <v>7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>
        <v>-2</v>
      </c>
      <c r="U1681" s="1116">
        <v>-3</v>
      </c>
      <c r="V1681" s="1116">
        <v>-4</v>
      </c>
      <c r="W1681" s="1116">
        <v>5</v>
      </c>
      <c r="X1681" s="1116">
        <v>6</v>
      </c>
      <c r="Y1681" s="1116">
        <v>7</v>
      </c>
      <c r="Z1681" s="1116">
        <f t="shared" ca="1" si="114"/>
        <v>7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>
        <v>-2</v>
      </c>
      <c r="AQ1681" s="1116">
        <v>-3</v>
      </c>
      <c r="AR1681" s="1116">
        <v>-4</v>
      </c>
      <c r="AS1681" s="1116">
        <v>0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8">
        <f>MEDIAN(W1690:Z1690)</f>
        <v>2</v>
      </c>
      <c r="AD1684" s="1199">
        <f ca="1">MEDIAN(AD1690:AX1690)</f>
        <v>28.991662999999999</v>
      </c>
      <c r="AE1684" s="1200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1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1.4825999999999999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-0.96971145653388691</v>
      </c>
      <c r="AD1687">
        <f ca="1">SUMPRODUCT(F1490:Z1490,AD1691:AX1691)/SQRT(SUMSQ(AD1690:AX1690)*SUMSQ(AD1691:AX1691))</f>
        <v>-4.6356078695468356E-4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-0.5</v>
      </c>
      <c r="AD1688" cm="1">
        <f t="array" aca="1" ref="AD1688" ca="1">2*SUMPRODUCT(ABS(F1490:Z1490), --(SIGN(F1490:Z1490)=SIGN(AD1690:AX1690)))/SUMPRODUCT(ABS(AD1690:AX1690)) - 1</f>
        <v>-0.99814597536311545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-0.23809523809523814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1">
        <f>W698</f>
        <v>-3.2259000000000003E-2</v>
      </c>
      <c r="G1690" s="1201">
        <f t="shared" ref="G1690:AA1690" si="120">X698</f>
        <v>1.5939999999999999E-2</v>
      </c>
      <c r="H1690" s="1201">
        <f t="shared" si="120"/>
        <v>1.7562999999999999E-2</v>
      </c>
      <c r="I1690" s="1201">
        <f t="shared" ca="1" si="120"/>
        <v>1.7562999999999999E-2</v>
      </c>
      <c r="J1690" s="1201">
        <f t="shared" si="120"/>
        <v>0</v>
      </c>
      <c r="K1690" s="1201">
        <f t="shared" si="120"/>
        <v>1</v>
      </c>
      <c r="L1690" s="1201">
        <f t="shared" si="120"/>
        <v>3</v>
      </c>
      <c r="M1690" s="1201">
        <f t="shared" si="120"/>
        <v>3</v>
      </c>
      <c r="N1690" s="1201">
        <f t="shared" si="120"/>
        <v>5</v>
      </c>
      <c r="O1690" s="1201">
        <f t="shared" si="120"/>
        <v>5</v>
      </c>
      <c r="P1690" s="1201">
        <f t="shared" si="120"/>
        <v>8</v>
      </c>
      <c r="Q1690" s="1201">
        <f t="shared" si="120"/>
        <v>8</v>
      </c>
      <c r="R1690" s="1201">
        <f t="shared" si="120"/>
        <v>8</v>
      </c>
      <c r="S1690" s="1201">
        <f t="shared" si="120"/>
        <v>5</v>
      </c>
      <c r="T1690" s="1201">
        <f t="shared" si="120"/>
        <v>3</v>
      </c>
      <c r="U1690" s="1201">
        <f t="shared" si="120"/>
        <v>3</v>
      </c>
      <c r="V1690" s="1201">
        <f t="shared" si="120"/>
        <v>12</v>
      </c>
      <c r="W1690" s="1201">
        <f t="shared" si="120"/>
        <v>12</v>
      </c>
      <c r="X1690" s="1201">
        <f t="shared" si="120"/>
        <v>1</v>
      </c>
      <c r="Y1690" s="1201">
        <f t="shared" si="120"/>
        <v>1</v>
      </c>
      <c r="Z1690" s="1201">
        <f t="shared" si="120"/>
        <v>3</v>
      </c>
      <c r="AA1690" s="1201">
        <f t="shared" si="120"/>
        <v>5</v>
      </c>
      <c r="AB1690" s="1201">
        <v>21.991662999999999</v>
      </c>
      <c r="AC1690" s="1201">
        <v>22.991662999999999</v>
      </c>
      <c r="AD1690" s="1201">
        <v>23.991662999999999</v>
      </c>
      <c r="AE1690" s="1201">
        <v>24.991662999999999</v>
      </c>
      <c r="AF1690" s="1201">
        <v>25.991662999999999</v>
      </c>
      <c r="AG1690" s="1201">
        <v>26.991662999999999</v>
      </c>
      <c r="AH1690" s="1201">
        <v>27.991662999999999</v>
      </c>
      <c r="AI1690" s="1201">
        <v>28.991662999999999</v>
      </c>
      <c r="AJ1690" s="1201">
        <v>29.991662999999999</v>
      </c>
      <c r="AK1690" s="1201">
        <v>30.991662999999999</v>
      </c>
      <c r="AL1690" s="1201">
        <v>31.991662999999999</v>
      </c>
      <c r="AM1690" s="1201">
        <v>32.991663000000003</v>
      </c>
      <c r="AN1690" s="1201">
        <v>33.991663000000003</v>
      </c>
      <c r="AO1690" s="1201">
        <v>34.991663000000003</v>
      </c>
      <c r="AP1690" s="1201">
        <v>35.991663000000003</v>
      </c>
      <c r="AQ1690" s="1201">
        <v>36.991663000000003</v>
      </c>
      <c r="AR1690" s="1201">
        <v>37.991663000000003</v>
      </c>
      <c r="AS1690" s="1201">
        <v>38.991663000000003</v>
      </c>
      <c r="AT1690">
        <f t="shared" ref="AT1690:BK1690" si="121">V698*100</f>
        <v>-1.4839</v>
      </c>
      <c r="AU1690">
        <f t="shared" si="121"/>
        <v>-3.2259000000000002</v>
      </c>
      <c r="AV1690">
        <f t="shared" si="121"/>
        <v>1.5939999999999999</v>
      </c>
      <c r="AW1690">
        <f t="shared" si="121"/>
        <v>1.7563</v>
      </c>
      <c r="AX1690">
        <f t="shared" ca="1" si="121"/>
        <v>1.7563</v>
      </c>
      <c r="AY1690">
        <f t="shared" si="121"/>
        <v>0</v>
      </c>
      <c r="AZ1690">
        <f t="shared" si="121"/>
        <v>100</v>
      </c>
      <c r="BA1690">
        <f t="shared" si="121"/>
        <v>300</v>
      </c>
      <c r="BB1690">
        <f t="shared" si="121"/>
        <v>300</v>
      </c>
      <c r="BC1690">
        <f t="shared" si="121"/>
        <v>500</v>
      </c>
      <c r="BD1690">
        <f t="shared" si="121"/>
        <v>500</v>
      </c>
      <c r="BE1690">
        <f t="shared" si="121"/>
        <v>800</v>
      </c>
      <c r="BF1690">
        <f t="shared" si="121"/>
        <v>800</v>
      </c>
      <c r="BG1690">
        <f t="shared" si="121"/>
        <v>800</v>
      </c>
      <c r="BH1690">
        <f t="shared" si="121"/>
        <v>500</v>
      </c>
      <c r="BI1690">
        <f t="shared" si="121"/>
        <v>300</v>
      </c>
      <c r="BJ1690">
        <f t="shared" si="121"/>
        <v>300</v>
      </c>
      <c r="BK1690">
        <f t="shared" si="121"/>
        <v>1200</v>
      </c>
      <c r="BL1690">
        <f t="shared" ref="BL1690" si="122">AN698*100</f>
        <v>1200</v>
      </c>
      <c r="BM1690">
        <f t="shared" ref="BM1690" si="123">AO698*100</f>
        <v>100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0.99999981346205136</v>
      </c>
      <c r="G1691">
        <f t="shared" ref="G1691:AA1691" si="124">TANH(X1690/$F$1686)</f>
        <v>0.58792613826262718</v>
      </c>
      <c r="H1691">
        <f t="shared" si="124"/>
        <v>0.58792613826262718</v>
      </c>
      <c r="I1691">
        <f t="shared" si="124"/>
        <v>0.96564893036834909</v>
      </c>
      <c r="J1691">
        <f t="shared" si="124"/>
        <v>0.99764905188658526</v>
      </c>
      <c r="K1691">
        <f t="shared" si="124"/>
        <v>0.99999999999973876</v>
      </c>
      <c r="L1691">
        <f t="shared" si="124"/>
        <v>0.99999999999993205</v>
      </c>
      <c r="M1691">
        <f t="shared" si="124"/>
        <v>0.99999999999998257</v>
      </c>
      <c r="N1691">
        <f t="shared" si="124"/>
        <v>0.99999999999999534</v>
      </c>
      <c r="O1691">
        <f t="shared" si="124"/>
        <v>0.99999999999999889</v>
      </c>
      <c r="P1691">
        <f t="shared" si="124"/>
        <v>0.99999999999999967</v>
      </c>
      <c r="Q1691">
        <f t="shared" si="124"/>
        <v>1</v>
      </c>
      <c r="R1691">
        <f t="shared" si="124"/>
        <v>1</v>
      </c>
      <c r="S1691">
        <f t="shared" si="124"/>
        <v>1</v>
      </c>
      <c r="T1691">
        <f t="shared" si="124"/>
        <v>1</v>
      </c>
      <c r="U1691">
        <f t="shared" si="124"/>
        <v>1</v>
      </c>
      <c r="V1691">
        <f t="shared" si="124"/>
        <v>1</v>
      </c>
      <c r="W1691">
        <f t="shared" si="124"/>
        <v>1</v>
      </c>
      <c r="X1691">
        <f t="shared" si="124"/>
        <v>1</v>
      </c>
      <c r="Y1691">
        <f t="shared" si="124"/>
        <v>1</v>
      </c>
      <c r="Z1691">
        <f t="shared" si="124"/>
        <v>1</v>
      </c>
      <c r="AA1691">
        <f t="shared" si="124"/>
        <v>1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-0.19754385018879117</v>
      </c>
      <c r="AU1691">
        <f t="shared" ca="1" si="126"/>
        <v>-0.40963117248904957</v>
      </c>
      <c r="AV1691">
        <f t="shared" ca="1" si="126"/>
        <v>0.21177375090395767</v>
      </c>
      <c r="AW1691">
        <f t="shared" ca="1" si="126"/>
        <v>0.23258599482328554</v>
      </c>
      <c r="AX1691">
        <f t="shared" ca="1" si="126"/>
        <v>0.23258599482328554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1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0.99999999999616362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45887</v>
      </c>
      <c r="G1702" s="63">
        <f t="shared" si="129"/>
        <v>45888</v>
      </c>
      <c r="H1702" s="63">
        <f t="shared" si="129"/>
        <v>45889</v>
      </c>
      <c r="I1702" s="63">
        <f t="shared" si="129"/>
        <v>45890</v>
      </c>
      <c r="J1702" s="63">
        <f t="shared" si="129"/>
        <v>45891</v>
      </c>
      <c r="K1702" s="63">
        <f t="shared" si="129"/>
        <v>45894</v>
      </c>
      <c r="L1702" s="63">
        <f t="shared" si="129"/>
        <v>45895</v>
      </c>
      <c r="M1702" s="63">
        <f t="shared" si="129"/>
        <v>45896</v>
      </c>
      <c r="N1702" s="63">
        <f t="shared" si="129"/>
        <v>45897</v>
      </c>
      <c r="O1702" s="63">
        <f t="shared" si="129"/>
        <v>45898</v>
      </c>
      <c r="P1702" s="63">
        <f t="shared" si="129"/>
        <v>45901</v>
      </c>
      <c r="Q1702" s="63">
        <f t="shared" si="129"/>
        <v>45902</v>
      </c>
      <c r="R1702" s="63">
        <f t="shared" si="129"/>
        <v>45903</v>
      </c>
      <c r="S1702" s="63">
        <f t="shared" si="129"/>
        <v>45904</v>
      </c>
      <c r="T1702" s="63">
        <f t="shared" si="129"/>
        <v>45905</v>
      </c>
      <c r="U1702" s="63">
        <f t="shared" si="129"/>
        <v>45908</v>
      </c>
      <c r="V1702" s="63">
        <f t="shared" si="129"/>
        <v>45909</v>
      </c>
      <c r="W1702" s="63">
        <f t="shared" si="129"/>
        <v>45910</v>
      </c>
      <c r="X1702" s="63">
        <f t="shared" si="129"/>
        <v>45911</v>
      </c>
      <c r="Y1702" s="63">
        <f t="shared" si="129"/>
        <v>45912</v>
      </c>
      <c r="Z1702" s="63">
        <f t="shared" ca="1" si="129"/>
        <v>45912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-17123982.903299998</v>
      </c>
      <c r="D1704" s="988" t="s">
        <v>2367</v>
      </c>
      <c r="E1704"/>
      <c r="F1704" s="785">
        <v>23264973.169999998</v>
      </c>
      <c r="G1704" s="785">
        <v>23430551.050000001</v>
      </c>
      <c r="H1704" s="785">
        <v>23406074.695999995</v>
      </c>
      <c r="I1704" s="785">
        <v>22836493.761999998</v>
      </c>
      <c r="J1704" s="785">
        <v>22836493.761999998</v>
      </c>
      <c r="K1704" s="785">
        <v>22695687.469999999</v>
      </c>
      <c r="L1704" s="785">
        <v>22811044.25</v>
      </c>
      <c r="M1704" s="785">
        <v>22841506.549999997</v>
      </c>
      <c r="N1704" s="785">
        <v>22764822.579999998</v>
      </c>
      <c r="O1704" s="785">
        <v>22300702.629999999</v>
      </c>
      <c r="P1704" s="785">
        <v>22207345.479999997</v>
      </c>
      <c r="Q1704" s="785">
        <v>22032256.227000002</v>
      </c>
      <c r="R1704" s="785">
        <v>22275402.109999999</v>
      </c>
      <c r="S1704" s="785">
        <v>22349509.879999995</v>
      </c>
      <c r="T1704" s="785">
        <v>22519164.210000001</v>
      </c>
      <c r="U1704" s="785">
        <v>22555062.019999996</v>
      </c>
      <c r="V1704" s="785">
        <v>22555432.16</v>
      </c>
      <c r="W1704" s="785">
        <v>22742238.634999998</v>
      </c>
      <c r="X1704" s="785">
        <v>22550720.624999996</v>
      </c>
      <c r="Y1704" s="785">
        <v>22578059.229999997</v>
      </c>
      <c r="Z1704" s="785">
        <f ca="1">Calc!AY102</f>
        <v>22578059.229999997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-46925423.209416993</v>
      </c>
      <c r="H1705" s="102">
        <v>-46906293.936416991</v>
      </c>
      <c r="I1705" s="102">
        <v>-46906293.936416991</v>
      </c>
      <c r="J1705" s="102">
        <v>-46906293.936416991</v>
      </c>
      <c r="K1705" s="102">
        <v>-46925423.209416993</v>
      </c>
      <c r="L1705" s="102">
        <v>-46980408.236416988</v>
      </c>
      <c r="M1705" s="102">
        <v>-46999537.50941699</v>
      </c>
      <c r="N1705" s="102">
        <v>-46999537.50941699</v>
      </c>
      <c r="O1705" s="102">
        <v>-46999537.50941699</v>
      </c>
      <c r="P1705" s="102">
        <v>-47024747.036417</v>
      </c>
      <c r="Q1705" s="102">
        <v>-47146722.736416988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-47659181.658200949</v>
      </c>
      <c r="V1705" s="102">
        <v>-47659181.658200949</v>
      </c>
      <c r="W1705" s="102">
        <v>-47829165.706124455</v>
      </c>
      <c r="X1705" s="102">
        <v>-47132756.009854451</v>
      </c>
      <c r="Y1705" s="102">
        <v>-47903027.47037445</v>
      </c>
      <c r="Z1705" s="102">
        <f ca="1">Calc!BA102</f>
        <v>-47903027.47037445</v>
      </c>
      <c r="AB1705" s="102">
        <f ca="1">Tab1SDataShiftSummary[[#This Row],[Summary0]]-Tab1SDataShiftSummary[[#This Row],[Summary20]]</f>
        <v>904134.68095745891</v>
      </c>
      <c r="AC1705" s="102">
        <f>Tab1SDataShiftSummary[[#This Row],[Summary1]]-Tab1SDataShiftSummary[[#This Row],[Summary0]]</f>
        <v>73469.579999998212</v>
      </c>
      <c r="AD1705" s="102">
        <f>Tab1SDataShiftSummary[[#This Row],[Summary2]]-Tab1SDataShiftSummary[[#This Row],[Summary1]]</f>
        <v>19129.273000001907</v>
      </c>
      <c r="AE1705" s="102">
        <f>Tab1SDataShiftSummary[[#This Row],[Summary3]]-Tab1SDataShiftSummary[[#This Row],[Summary2]]</f>
        <v>0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-19129.273000001907</v>
      </c>
      <c r="AH1705" s="102">
        <f>Tab1SDataShiftSummary[[#This Row],[Summary6]]-Tab1SDataShiftSummary[[#This Row],[Summary5]]</f>
        <v>-54985.026999995112</v>
      </c>
      <c r="AI1705" s="102">
        <f>Tab1SDataShiftSummary[[#This Row],[Summary7]]-Tab1SDataShiftSummary[[#This Row],[Summary6]]</f>
        <v>-19129.273000001907</v>
      </c>
      <c r="AJ1705" s="102">
        <f>Tab1SDataShiftSummary[[#This Row],[Summary8]]-Tab1SDataShiftSummary[[#This Row],[Summary7]]</f>
        <v>0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-25209.527000010014</v>
      </c>
      <c r="AM1705" s="102">
        <f>Tab1SDataShiftSummary[[#This Row],[Summary11]]-Tab1SDataShiftSummary[[#This Row],[Summary10]]</f>
        <v>-121975.69999998808</v>
      </c>
      <c r="AN1705" s="102">
        <f>Tab1SDataShiftSummary[[#This Row],[Summary12]]-Tab1SDataShiftSummary[[#This Row],[Summary11]]</f>
        <v>0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-512458.92178396136</v>
      </c>
      <c r="AR1705" s="102">
        <f>Tab1SDataShiftSummary[[#This Row],[Summary16]]-Tab1SDataShiftSummary[[#This Row],[Summary15]]</f>
        <v>0</v>
      </c>
      <c r="AS1705" s="102">
        <f>Tab1SDataShiftSummary[[#This Row],[Summary17]]-Tab1SDataShiftSummary[[#This Row],[Summary16]]</f>
        <v>-169984.04792350531</v>
      </c>
      <c r="AT1705" s="102">
        <f>Tab1SDataShiftSummary[[#This Row],[Summary18]]-Tab1SDataShiftSummary[[#This Row],[Summary17]]</f>
        <v>696409.69627000391</v>
      </c>
      <c r="AU1705" s="102">
        <f>Tab1SDataShiftSummary[[#This Row],[Summary19]]-Tab1SDataShiftSummary[[#This Row],[Summary18]]</f>
        <v>-770271.46051999927</v>
      </c>
      <c r="AV1705" s="102">
        <f ca="1">Tab1SDataShiftSummary[[#This Row],[Summary20]]-Tab1SDataShiftSummary[[#This Row],[Summary19]]</f>
        <v>0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-4684938.6617989987</v>
      </c>
      <c r="G1706" s="102">
        <v>-4727988.6617989987</v>
      </c>
      <c r="H1706" s="102">
        <v>-4722979.3687989991</v>
      </c>
      <c r="I1706" s="102">
        <v>-4555913.5767989997</v>
      </c>
      <c r="J1706" s="102">
        <v>-4555913.5767989997</v>
      </c>
      <c r="K1706" s="102">
        <v>-4560922.8697989993</v>
      </c>
      <c r="L1706" s="102">
        <v>-4577484.231798999</v>
      </c>
      <c r="M1706" s="102">
        <v>-4582493.5247989986</v>
      </c>
      <c r="N1706" s="102">
        <v>-4582493.5247989986</v>
      </c>
      <c r="O1706" s="102">
        <v>-4482717.4947989993</v>
      </c>
      <c r="P1706" s="102">
        <v>-4477708.2017989997</v>
      </c>
      <c r="Q1706" s="102">
        <v>-4500913.7867989987</v>
      </c>
      <c r="R1706" s="102">
        <v>-4473053.7867989987</v>
      </c>
      <c r="S1706" s="102">
        <v>-4473053.7867989987</v>
      </c>
      <c r="T1706" s="102">
        <v>-4473053.7867989987</v>
      </c>
      <c r="U1706" s="102">
        <v>-4528506.5648257509</v>
      </c>
      <c r="V1706" s="102">
        <v>-4479936.5648257509</v>
      </c>
      <c r="W1706" s="102">
        <v>-4511734.7118507503</v>
      </c>
      <c r="X1706" s="102">
        <v>-4262571.40885075</v>
      </c>
      <c r="Y1706" s="102">
        <v>-4426448.3758507501</v>
      </c>
      <c r="Z1706" s="102">
        <f ca="1">Calc!BB102</f>
        <v>-4426448.3758507501</v>
      </c>
      <c r="AB1706" s="102">
        <f ca="1">Tab1SDataShiftSummary[[#This Row],[Summary0]]-Tab1SDataShiftSummary[[#This Row],[Summary20]]</f>
        <v>-258490.28594824858</v>
      </c>
      <c r="AC1706" s="102">
        <f>Tab1SDataShiftSummary[[#This Row],[Summary1]]-Tab1SDataShiftSummary[[#This Row],[Summary0]]</f>
        <v>-43050</v>
      </c>
      <c r="AD1706" s="102">
        <f>Tab1SDataShiftSummary[[#This Row],[Summary2]]-Tab1SDataShiftSummary[[#This Row],[Summary1]]</f>
        <v>5009.2929999995977</v>
      </c>
      <c r="AE1706" s="102">
        <f>Tab1SDataShiftSummary[[#This Row],[Summary3]]-Tab1SDataShiftSummary[[#This Row],[Summary2]]</f>
        <v>167065.79199999943</v>
      </c>
      <c r="AF1706" s="102">
        <f>Tab1SDataShiftSummary[[#This Row],[Summary4]]-Tab1SDataShiftSummary[[#This Row],[Summary3]]</f>
        <v>0</v>
      </c>
      <c r="AG1706" s="102">
        <f>Tab1SDataShiftSummary[[#This Row],[Summary5]]-Tab1SDataShiftSummary[[#This Row],[Summary4]]</f>
        <v>-5009.2929999995977</v>
      </c>
      <c r="AH1706" s="102">
        <f>Tab1SDataShiftSummary[[#This Row],[Summary6]]-Tab1SDataShiftSummary[[#This Row],[Summary5]]</f>
        <v>-16561.361999999732</v>
      </c>
      <c r="AI1706" s="102">
        <f>Tab1SDataShiftSummary[[#This Row],[Summary7]]-Tab1SDataShiftSummary[[#This Row],[Summary6]]</f>
        <v>-5009.2929999995977</v>
      </c>
      <c r="AJ1706" s="102">
        <f>Tab1SDataShiftSummary[[#This Row],[Summary8]]-Tab1SDataShiftSummary[[#This Row],[Summary7]]</f>
        <v>0</v>
      </c>
      <c r="AK1706" s="102">
        <f>Tab1SDataShiftSummary[[#This Row],[Summary9]]-Tab1SDataShiftSummary[[#This Row],[Summary8]]</f>
        <v>99776.029999999329</v>
      </c>
      <c r="AL1706" s="102">
        <f>Tab1SDataShiftSummary[[#This Row],[Summary10]]-Tab1SDataShiftSummary[[#This Row],[Summary9]]</f>
        <v>5009.2929999995977</v>
      </c>
      <c r="AM1706" s="102">
        <f>Tab1SDataShiftSummary[[#This Row],[Summary11]]-Tab1SDataShiftSummary[[#This Row],[Summary10]]</f>
        <v>-23205.584999999031</v>
      </c>
      <c r="AN1706" s="102">
        <f>Tab1SDataShiftSummary[[#This Row],[Summary12]]-Tab1SDataShiftSummary[[#This Row],[Summary11]]</f>
        <v>27860</v>
      </c>
      <c r="AO1706" s="102">
        <f>Tab1SDataShiftSummary[[#This Row],[Summary13]]-Tab1SDataShiftSummary[[#This Row],[Summary12]]</f>
        <v>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-55452.778026752174</v>
      </c>
      <c r="AR1706" s="102">
        <f>Tab1SDataShiftSummary[[#This Row],[Summary16]]-Tab1SDataShiftSummary[[#This Row],[Summary15]]</f>
        <v>48570</v>
      </c>
      <c r="AS1706" s="102">
        <f>Tab1SDataShiftSummary[[#This Row],[Summary17]]-Tab1SDataShiftSummary[[#This Row],[Summary16]]</f>
        <v>-31798.147024999373</v>
      </c>
      <c r="AT1706" s="102">
        <f>Tab1SDataShiftSummary[[#This Row],[Summary18]]-Tab1SDataShiftSummary[[#This Row],[Summary17]]</f>
        <v>249163.30300000031</v>
      </c>
      <c r="AU1706" s="102">
        <f>Tab1SDataShiftSummary[[#This Row],[Summary19]]-Tab1SDataShiftSummary[[#This Row],[Summary18]]</f>
        <v>-163876.96700000018</v>
      </c>
      <c r="AV1706" s="102">
        <f ca="1">Tab1SDataShiftSummary[[#This Row],[Summary20]]-Tab1SDataShiftSummary[[#This Row],[Summary19]]</f>
        <v>0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5968839.5620000018</v>
      </c>
      <c r="G1707" s="102">
        <v>6225557.4420000035</v>
      </c>
      <c r="H1707" s="102">
        <v>6210581.938000001</v>
      </c>
      <c r="I1707" s="102">
        <v>5641001.0040000007</v>
      </c>
      <c r="J1707" s="102">
        <v>5641001.0040000007</v>
      </c>
      <c r="K1707" s="102">
        <v>5490693.8620000025</v>
      </c>
      <c r="L1707" s="102">
        <v>5588651.4920000015</v>
      </c>
      <c r="M1707" s="102">
        <v>5609612.9420000017</v>
      </c>
      <c r="N1707" s="102">
        <v>5532928.9720000001</v>
      </c>
      <c r="O1707" s="102">
        <v>5068809.0220000017</v>
      </c>
      <c r="P1707" s="102">
        <v>4984952.722000001</v>
      </c>
      <c r="Q1707" s="102">
        <v>4836763.4690000005</v>
      </c>
      <c r="R1707" s="102">
        <v>5079909.351999999</v>
      </c>
      <c r="S1707" s="102">
        <v>5154017.1220000023</v>
      </c>
      <c r="T1707" s="102">
        <v>5323671.4519999996</v>
      </c>
      <c r="U1707" s="102">
        <v>5359319.2620000001</v>
      </c>
      <c r="V1707" s="102">
        <v>5359689.4019999998</v>
      </c>
      <c r="W1707" s="102">
        <v>5645155.7317000004</v>
      </c>
      <c r="X1707" s="102">
        <v>5426987.7217000006</v>
      </c>
      <c r="Y1707" s="102">
        <v>5454076.3267000001</v>
      </c>
      <c r="Z1707" s="102">
        <f ca="1">Calc!BC102</f>
        <v>5454076.3267000001</v>
      </c>
      <c r="AB1707" s="102">
        <f ca="1">Tab1SDataShiftSummary[[#This Row],[Summary0]]-Tab1SDataShiftSummary[[#This Row],[Summary20]]</f>
        <v>514763.23530000169</v>
      </c>
      <c r="AC1707" s="102">
        <f>Tab1SDataShiftSummary[[#This Row],[Summary1]]-Tab1SDataShiftSummary[[#This Row],[Summary0]]</f>
        <v>256717.88000000175</v>
      </c>
      <c r="AD1707" s="102">
        <f>Tab1SDataShiftSummary[[#This Row],[Summary2]]-Tab1SDataShiftSummary[[#This Row],[Summary1]]</f>
        <v>-14975.504000002518</v>
      </c>
      <c r="AE1707" s="102">
        <f>Tab1SDataShiftSummary[[#This Row],[Summary3]]-Tab1SDataShiftSummary[[#This Row],[Summary2]]</f>
        <v>-569580.93400000036</v>
      </c>
      <c r="AF1707" s="102">
        <f>Tab1SDataShiftSummary[[#This Row],[Summary4]]-Tab1SDataShiftSummary[[#This Row],[Summary3]]</f>
        <v>0</v>
      </c>
      <c r="AG1707" s="102">
        <f>Tab1SDataShiftSummary[[#This Row],[Summary5]]-Tab1SDataShiftSummary[[#This Row],[Summary4]]</f>
        <v>-150307.14199999813</v>
      </c>
      <c r="AH1707" s="102">
        <f>Tab1SDataShiftSummary[[#This Row],[Summary6]]-Tab1SDataShiftSummary[[#This Row],[Summary5]]</f>
        <v>97957.629999998957</v>
      </c>
      <c r="AI1707" s="102">
        <f>Tab1SDataShiftSummary[[#This Row],[Summary7]]-Tab1SDataShiftSummary[[#This Row],[Summary6]]</f>
        <v>20961.450000000186</v>
      </c>
      <c r="AJ1707" s="102">
        <f>Tab1SDataShiftSummary[[#This Row],[Summary8]]-Tab1SDataShiftSummary[[#This Row],[Summary7]]</f>
        <v>-76683.970000001602</v>
      </c>
      <c r="AK1707" s="102">
        <f>Tab1SDataShiftSummary[[#This Row],[Summary9]]-Tab1SDataShiftSummary[[#This Row],[Summary8]]</f>
        <v>-464119.94999999832</v>
      </c>
      <c r="AL1707" s="102">
        <f>Tab1SDataShiftSummary[[#This Row],[Summary10]]-Tab1SDataShiftSummary[[#This Row],[Summary9]]</f>
        <v>-83856.300000000745</v>
      </c>
      <c r="AM1707" s="102">
        <f>Tab1SDataShiftSummary[[#This Row],[Summary11]]-Tab1SDataShiftSummary[[#This Row],[Summary10]]</f>
        <v>-148189.25300000049</v>
      </c>
      <c r="AN1707" s="102">
        <f>Tab1SDataShiftSummary[[#This Row],[Summary12]]-Tab1SDataShiftSummary[[#This Row],[Summary11]]</f>
        <v>243145.88299999852</v>
      </c>
      <c r="AO1707" s="102">
        <f>Tab1SDataShiftSummary[[#This Row],[Summary13]]-Tab1SDataShiftSummary[[#This Row],[Summary12]]</f>
        <v>74107.770000003278</v>
      </c>
      <c r="AP1707" s="102">
        <f>Tab1SDataShiftSummary[[#This Row],[Summary14]]-Tab1SDataShiftSummary[[#This Row],[Summary13]]</f>
        <v>169654.32999999728</v>
      </c>
      <c r="AQ1707" s="102">
        <f>Tab1SDataShiftSummary[[#This Row],[Summary15]]-Tab1SDataShiftSummary[[#This Row],[Summary14]]</f>
        <v>35647.810000000522</v>
      </c>
      <c r="AR1707" s="102">
        <f>Tab1SDataShiftSummary[[#This Row],[Summary16]]-Tab1SDataShiftSummary[[#This Row],[Summary15]]</f>
        <v>370.13999999966472</v>
      </c>
      <c r="AS1707" s="102">
        <f>Tab1SDataShiftSummary[[#This Row],[Summary17]]-Tab1SDataShiftSummary[[#This Row],[Summary16]]</f>
        <v>285466.32970000058</v>
      </c>
      <c r="AT1707" s="102">
        <f>Tab1SDataShiftSummary[[#This Row],[Summary18]]-Tab1SDataShiftSummary[[#This Row],[Summary17]]</f>
        <v>-218168.00999999978</v>
      </c>
      <c r="AU1707" s="102">
        <f>Tab1SDataShiftSummary[[#This Row],[Summary19]]-Tab1SDataShiftSummary[[#This Row],[Summary18]]</f>
        <v>27088.604999999516</v>
      </c>
      <c r="AV1707" s="102">
        <f ca="1">Tab1SDataShiftSummary[[#This Row],[Summary20]]-Tab1SDataShiftSummary[[#This Row],[Summary19]]</f>
        <v>0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-64130416.817417011</v>
      </c>
      <c r="H1708" s="102">
        <v>-64101786.694417007</v>
      </c>
      <c r="I1708" s="102">
        <v>-64101786.694417007</v>
      </c>
      <c r="J1708" s="102">
        <v>-64101786.694417007</v>
      </c>
      <c r="K1708" s="102">
        <v>-64130416.817417011</v>
      </c>
      <c r="L1708" s="102">
        <v>-64202800.994417012</v>
      </c>
      <c r="M1708" s="102">
        <v>-64231431.117417008</v>
      </c>
      <c r="N1708" s="102">
        <v>-64231431.117417008</v>
      </c>
      <c r="O1708" s="102">
        <v>-64231431.117417008</v>
      </c>
      <c r="P1708" s="102">
        <v>-64247139.794417009</v>
      </c>
      <c r="Q1708" s="102">
        <v>-64342215.494417012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-64854924.416200966</v>
      </c>
      <c r="V1708" s="102">
        <v>-64854924.416200966</v>
      </c>
      <c r="W1708" s="102">
        <v>-64926248.609424472</v>
      </c>
      <c r="X1708" s="102">
        <v>-64256488.913154468</v>
      </c>
      <c r="Y1708" s="102">
        <v>-65027010.373674467</v>
      </c>
      <c r="Z1708" s="102">
        <f ca="1">Calc!BD102</f>
        <v>-65027010.373674467</v>
      </c>
      <c r="AB1708" s="1203">
        <f ca="1">Tab1SDataShiftSummary[[#This Row],[Summary0]]-Tab1SDataShiftSummary[[#This Row],[Summary20]]</f>
        <v>731983.97625745833</v>
      </c>
      <c r="AC1708" s="1203">
        <f>Tab1SDataShiftSummary[[#This Row],[Summary1]]-Tab1SDataShiftSummary[[#This Row],[Summary0]]</f>
        <v>164609.57999999821</v>
      </c>
      <c r="AD1708" s="1203">
        <f>Tab1SDataShiftSummary[[#This Row],[Summary2]]-Tab1SDataShiftSummary[[#This Row],[Summary1]]</f>
        <v>28630.123000003397</v>
      </c>
      <c r="AE1708" s="1203">
        <f>Tab1SDataShiftSummary[[#This Row],[Summary3]]-Tab1SDataShiftSummary[[#This Row],[Summary2]]</f>
        <v>0</v>
      </c>
      <c r="AF1708" s="1203">
        <f>Tab1SDataShiftSummary[[#This Row],[Summary4]]-Tab1SDataShiftSummary[[#This Row],[Summary3]]</f>
        <v>0</v>
      </c>
      <c r="AG1708" s="1203">
        <f>Tab1SDataShiftSummary[[#This Row],[Summary5]]-Tab1SDataShiftSummary[[#This Row],[Summary4]]</f>
        <v>-28630.123000003397</v>
      </c>
      <c r="AH1708" s="1203">
        <f>Tab1SDataShiftSummary[[#This Row],[Summary6]]-Tab1SDataShiftSummary[[#This Row],[Summary5]]</f>
        <v>-72384.177000001073</v>
      </c>
      <c r="AI1708" s="1203">
        <f>Tab1SDataShiftSummary[[#This Row],[Summary7]]-Tab1SDataShiftSummary[[#This Row],[Summary6]]</f>
        <v>-28630.122999995947</v>
      </c>
      <c r="AJ1708" s="1203">
        <f>Tab1SDataShiftSummary[[#This Row],[Summary8]]-Tab1SDataShiftSummary[[#This Row],[Summary7]]</f>
        <v>0</v>
      </c>
      <c r="AK1708" s="1203">
        <f>Tab1SDataShiftSummary[[#This Row],[Summary9]]-Tab1SDataShiftSummary[[#This Row],[Summary8]]</f>
        <v>0</v>
      </c>
      <c r="AL1708" s="1203">
        <f>Tab1SDataShiftSummary[[#This Row],[Summary10]]-Tab1SDataShiftSummary[[#This Row],[Summary9]]</f>
        <v>-15708.677000001073</v>
      </c>
      <c r="AM1708" s="1203">
        <f>Tab1SDataShiftSummary[[#This Row],[Summary11]]-Tab1SDataShiftSummary[[#This Row],[Summary10]]</f>
        <v>-95075.70000000298</v>
      </c>
      <c r="AN1708" s="1203">
        <f>Tab1SDataShiftSummary[[#This Row],[Summary12]]-Tab1SDataShiftSummary[[#This Row],[Summary11]]</f>
        <v>0</v>
      </c>
      <c r="AO1708" s="1203">
        <f>Tab1SDataShiftSummary[[#This Row],[Summary13]]-Tab1SDataShiftSummary[[#This Row],[Summary12]]</f>
        <v>0</v>
      </c>
      <c r="AP1708" s="1203">
        <f>Tab1SDataShiftSummary[[#This Row],[Summary14]]-Tab1SDataShiftSummary[[#This Row],[Summary13]]</f>
        <v>0</v>
      </c>
      <c r="AQ1708" s="1203">
        <f>Tab1SDataShiftSummary[[#This Row],[Summary15]]-Tab1SDataShiftSummary[[#This Row],[Summary14]]</f>
        <v>-512708.92178395391</v>
      </c>
      <c r="AR1708" s="1203">
        <f>Tab1SDataShiftSummary[[#This Row],[Summary16]]-Tab1SDataShiftSummary[[#This Row],[Summary15]]</f>
        <v>0</v>
      </c>
      <c r="AS1708" s="1203">
        <f>Tab1SDataShiftSummary[[#This Row],[Summary17]]-Tab1SDataShiftSummary[[#This Row],[Summary16]]</f>
        <v>-71324.193223506212</v>
      </c>
      <c r="AT1708" s="1203">
        <f>Tab1SDataShiftSummary[[#This Row],[Summary18]]-Tab1SDataShiftSummary[[#This Row],[Summary17]]</f>
        <v>669759.69627000391</v>
      </c>
      <c r="AU1708" s="1203">
        <f>Tab1SDataShiftSummary[[#This Row],[Summary19]]-Tab1SDataShiftSummary[[#This Row],[Summary18]]</f>
        <v>-770521.46051999927</v>
      </c>
      <c r="AV1708" s="1203">
        <f ca="1">Tab1SDataShiftSummary[[#This Row],[Summary20]]-Tab1SDataShiftSummary[[#This Row],[Summary19]]</f>
        <v>0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-8252927.0430170009</v>
      </c>
      <c r="G1709" s="102">
        <v>-8403633.5230170004</v>
      </c>
      <c r="H1709" s="102">
        <v>-8389123.3800170012</v>
      </c>
      <c r="I1709" s="102">
        <v>-8029743.3800170012</v>
      </c>
      <c r="J1709" s="102">
        <v>-8029743.3800170012</v>
      </c>
      <c r="K1709" s="102">
        <v>-8044253.5230170013</v>
      </c>
      <c r="L1709" s="102">
        <v>-7964687.7950170012</v>
      </c>
      <c r="M1709" s="102">
        <v>-7979197.9380170014</v>
      </c>
      <c r="N1709" s="102">
        <v>-7834831.9380170014</v>
      </c>
      <c r="O1709" s="102">
        <v>-7270071.9380170004</v>
      </c>
      <c r="P1709" s="102">
        <v>-7261180.5950170001</v>
      </c>
      <c r="Q1709" s="102">
        <v>-7405486.180017001</v>
      </c>
      <c r="R1709" s="102">
        <v>-7377626.180017001</v>
      </c>
      <c r="S1709" s="102">
        <v>-7377626.180017001</v>
      </c>
      <c r="T1709" s="102">
        <v>-7279557.3800170003</v>
      </c>
      <c r="U1709" s="102">
        <v>-7312770.9720170004</v>
      </c>
      <c r="V1709" s="102">
        <v>-7264200.9720170004</v>
      </c>
      <c r="W1709" s="102">
        <v>-7625301.883417001</v>
      </c>
      <c r="X1709" s="102">
        <v>-7374790.7064170018</v>
      </c>
      <c r="Y1709" s="102">
        <v>-7322160.798417002</v>
      </c>
      <c r="Z1709" s="102">
        <f ca="1">Calc!BE102</f>
        <v>-7322160.798417002</v>
      </c>
      <c r="AB1709" s="102">
        <f ca="1">Tab1SDataShiftSummary[[#This Row],[Summary0]]-Tab1SDataShiftSummary[[#This Row],[Summary20]]</f>
        <v>-930766.24459999893</v>
      </c>
      <c r="AC1709" s="102">
        <f>Tab1SDataShiftSummary[[#This Row],[Summary1]]-Tab1SDataShiftSummary[[#This Row],[Summary0]]</f>
        <v>-150706.47999999952</v>
      </c>
      <c r="AD1709" s="102">
        <f>Tab1SDataShiftSummary[[#This Row],[Summary2]]-Tab1SDataShiftSummary[[#This Row],[Summary1]]</f>
        <v>14510.142999999225</v>
      </c>
      <c r="AE1709" s="102">
        <f>Tab1SDataShiftSummary[[#This Row],[Summary3]]-Tab1SDataShiftSummary[[#This Row],[Summary2]]</f>
        <v>359380</v>
      </c>
      <c r="AF1709" s="102">
        <f>Tab1SDataShiftSummary[[#This Row],[Summary4]]-Tab1SDataShiftSummary[[#This Row],[Summary3]]</f>
        <v>0</v>
      </c>
      <c r="AG1709" s="102">
        <f>Tab1SDataShiftSummary[[#This Row],[Summary5]]-Tab1SDataShiftSummary[[#This Row],[Summary4]]</f>
        <v>-14510.143000000156</v>
      </c>
      <c r="AH1709" s="102">
        <f>Tab1SDataShiftSummary[[#This Row],[Summary6]]-Tab1SDataShiftSummary[[#This Row],[Summary5]]</f>
        <v>79565.728000000119</v>
      </c>
      <c r="AI1709" s="102">
        <f>Tab1SDataShiftSummary[[#This Row],[Summary7]]-Tab1SDataShiftSummary[[#This Row],[Summary6]]</f>
        <v>-14510.143000000156</v>
      </c>
      <c r="AJ1709" s="102">
        <f>Tab1SDataShiftSummary[[#This Row],[Summary8]]-Tab1SDataShiftSummary[[#This Row],[Summary7]]</f>
        <v>144366</v>
      </c>
      <c r="AK1709" s="102">
        <f>Tab1SDataShiftSummary[[#This Row],[Summary9]]-Tab1SDataShiftSummary[[#This Row],[Summary8]]</f>
        <v>564760.00000000093</v>
      </c>
      <c r="AL1709" s="102">
        <f>Tab1SDataShiftSummary[[#This Row],[Summary10]]-Tab1SDataShiftSummary[[#This Row],[Summary9]]</f>
        <v>8891.3430000003427</v>
      </c>
      <c r="AM1709" s="102">
        <f>Tab1SDataShiftSummary[[#This Row],[Summary11]]-Tab1SDataShiftSummary[[#This Row],[Summary10]]</f>
        <v>-144305.58500000089</v>
      </c>
      <c r="AN1709" s="102">
        <f>Tab1SDataShiftSummary[[#This Row],[Summary12]]-Tab1SDataShiftSummary[[#This Row],[Summary11]]</f>
        <v>27860</v>
      </c>
      <c r="AO1709" s="102">
        <f>Tab1SDataShiftSummary[[#This Row],[Summary13]]-Tab1SDataShiftSummary[[#This Row],[Summary12]]</f>
        <v>0</v>
      </c>
      <c r="AP1709" s="102">
        <f>Tab1SDataShiftSummary[[#This Row],[Summary14]]-Tab1SDataShiftSummary[[#This Row],[Summary13]]</f>
        <v>98068.800000000745</v>
      </c>
      <c r="AQ1709" s="102">
        <f>Tab1SDataShiftSummary[[#This Row],[Summary15]]-Tab1SDataShiftSummary[[#This Row],[Summary14]]</f>
        <v>-33213.592000000179</v>
      </c>
      <c r="AR1709" s="102">
        <f>Tab1SDataShiftSummary[[#This Row],[Summary16]]-Tab1SDataShiftSummary[[#This Row],[Summary15]]</f>
        <v>48570</v>
      </c>
      <c r="AS1709" s="102">
        <f>Tab1SDataShiftSummary[[#This Row],[Summary17]]-Tab1SDataShiftSummary[[#This Row],[Summary16]]</f>
        <v>-361100.91140000056</v>
      </c>
      <c r="AT1709" s="102">
        <f>Tab1SDataShiftSummary[[#This Row],[Summary18]]-Tab1SDataShiftSummary[[#This Row],[Summary17]]</f>
        <v>250511.17699999921</v>
      </c>
      <c r="AU1709" s="102">
        <f>Tab1SDataShiftSummary[[#This Row],[Summary19]]-Tab1SDataShiftSummary[[#This Row],[Summary18]]</f>
        <v>52629.907999999821</v>
      </c>
      <c r="AV1709" s="102">
        <f ca="1">Tab1SDataShiftSummary[[#This Row],[Summary20]]-Tab1SDataShiftSummary[[#This Row],[Summary19]]</f>
        <v>0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56042099.354400009</v>
      </c>
      <c r="G1710" s="102">
        <v>55726783.294400007</v>
      </c>
      <c r="H1710" s="102">
        <v>55712663.314400017</v>
      </c>
      <c r="I1710" s="102">
        <v>56072043.314400017</v>
      </c>
      <c r="J1710" s="102">
        <v>56072043.314400017</v>
      </c>
      <c r="K1710" s="102">
        <v>56086163.294400007</v>
      </c>
      <c r="L1710" s="102">
        <v>56238113.199400008</v>
      </c>
      <c r="M1710" s="102">
        <v>56252233.179400012</v>
      </c>
      <c r="N1710" s="102">
        <v>56396599.179400012</v>
      </c>
      <c r="O1710" s="102">
        <v>56961359.179400012</v>
      </c>
      <c r="P1710" s="102">
        <v>56985959.199400008</v>
      </c>
      <c r="Q1710" s="102">
        <v>56936729.314400017</v>
      </c>
      <c r="R1710" s="102">
        <v>56964589.314400017</v>
      </c>
      <c r="S1710" s="102">
        <v>56964589.314400017</v>
      </c>
      <c r="T1710" s="102">
        <v>57062658.114400022</v>
      </c>
      <c r="U1710" s="102">
        <v>57560435.371614017</v>
      </c>
      <c r="V1710" s="102">
        <v>57608883.94661402</v>
      </c>
      <c r="W1710" s="102">
        <v>57320009.980716012</v>
      </c>
      <c r="X1710" s="102">
        <v>56900135.183503516</v>
      </c>
      <c r="Y1710" s="102">
        <v>57723154.977253519</v>
      </c>
      <c r="Z1710" s="102">
        <f ca="1">Calc!BF102</f>
        <v>57723154.977253519</v>
      </c>
      <c r="AB1710" s="102">
        <f ca="1">Tab1SDataShiftSummary[[#This Row],[Summary0]]-Tab1SDataShiftSummary[[#This Row],[Summary20]]</f>
        <v>-1681055.6228535101</v>
      </c>
      <c r="AC1710" s="102">
        <f>Tab1SDataShiftSummary[[#This Row],[Summary1]]-Tab1SDataShiftSummary[[#This Row],[Summary0]]</f>
        <v>-315316.06000000238</v>
      </c>
      <c r="AD1710" s="102">
        <f>Tab1SDataShiftSummary[[#This Row],[Summary2]]-Tab1SDataShiftSummary[[#This Row],[Summary1]]</f>
        <v>-14119.979999989271</v>
      </c>
      <c r="AE1710" s="102">
        <f>Tab1SDataShiftSummary[[#This Row],[Summary3]]-Tab1SDataShiftSummary[[#This Row],[Summary2]]</f>
        <v>359380</v>
      </c>
      <c r="AF1710" s="102">
        <f>Tab1SDataShiftSummary[[#This Row],[Summary4]]-Tab1SDataShiftSummary[[#This Row],[Summary3]]</f>
        <v>0</v>
      </c>
      <c r="AG1710" s="102">
        <f>Tab1SDataShiftSummary[[#This Row],[Summary5]]-Tab1SDataShiftSummary[[#This Row],[Summary4]]</f>
        <v>14119.979999989271</v>
      </c>
      <c r="AH1710" s="102">
        <f>Tab1SDataShiftSummary[[#This Row],[Summary6]]-Tab1SDataShiftSummary[[#This Row],[Summary5]]</f>
        <v>151949.90500000119</v>
      </c>
      <c r="AI1710" s="102">
        <f>Tab1SDataShiftSummary[[#This Row],[Summary7]]-Tab1SDataShiftSummary[[#This Row],[Summary6]]</f>
        <v>14119.980000004172</v>
      </c>
      <c r="AJ1710" s="102">
        <f>Tab1SDataShiftSummary[[#This Row],[Summary8]]-Tab1SDataShiftSummary[[#This Row],[Summary7]]</f>
        <v>144366</v>
      </c>
      <c r="AK1710" s="102">
        <f>Tab1SDataShiftSummary[[#This Row],[Summary9]]-Tab1SDataShiftSummary[[#This Row],[Summary8]]</f>
        <v>564760</v>
      </c>
      <c r="AL1710" s="102">
        <f>Tab1SDataShiftSummary[[#This Row],[Summary10]]-Tab1SDataShiftSummary[[#This Row],[Summary9]]</f>
        <v>24600.019999995828</v>
      </c>
      <c r="AM1710" s="102">
        <f>Tab1SDataShiftSummary[[#This Row],[Summary11]]-Tab1SDataShiftSummary[[#This Row],[Summary10]]</f>
        <v>-49229.884999990463</v>
      </c>
      <c r="AN1710" s="102">
        <f>Tab1SDataShiftSummary[[#This Row],[Summary12]]-Tab1SDataShiftSummary[[#This Row],[Summary11]]</f>
        <v>27860</v>
      </c>
      <c r="AO1710" s="102">
        <f>Tab1SDataShiftSummary[[#This Row],[Summary13]]-Tab1SDataShiftSummary[[#This Row],[Summary12]]</f>
        <v>0</v>
      </c>
      <c r="AP1710" s="102">
        <f>Tab1SDataShiftSummary[[#This Row],[Summary14]]-Tab1SDataShiftSummary[[#This Row],[Summary13]]</f>
        <v>98068.80000000447</v>
      </c>
      <c r="AQ1710" s="102">
        <f>Tab1SDataShiftSummary[[#This Row],[Summary15]]-Tab1SDataShiftSummary[[#This Row],[Summary14]]</f>
        <v>497777.25721399486</v>
      </c>
      <c r="AR1710" s="102">
        <f>Tab1SDataShiftSummary[[#This Row],[Summary16]]-Tab1SDataShiftSummary[[#This Row],[Summary15]]</f>
        <v>48448.57500000298</v>
      </c>
      <c r="AS1710" s="102">
        <f>Tab1SDataShiftSummary[[#This Row],[Summary17]]-Tab1SDataShiftSummary[[#This Row],[Summary16]]</f>
        <v>-288873.96589800715</v>
      </c>
      <c r="AT1710" s="102">
        <f>Tab1SDataShiftSummary[[#This Row],[Summary18]]-Tab1SDataShiftSummary[[#This Row],[Summary17]]</f>
        <v>-419874.7972124964</v>
      </c>
      <c r="AU1710" s="102">
        <f>Tab1SDataShiftSummary[[#This Row],[Summary19]]-Tab1SDataShiftSummary[[#This Row],[Summary18]]</f>
        <v>823019.79375000298</v>
      </c>
      <c r="AV1710" s="102">
        <f ca="1">Tab1SDataShiftSummary[[#This Row],[Summary20]]-Tab1SDataShiftSummary[[#This Row],[Summary19]]</f>
        <v>0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15012046.126983006</v>
      </c>
      <c r="G1711" s="102">
        <v>15026917.526983002</v>
      </c>
      <c r="H1711" s="102">
        <v>15016951.315983001</v>
      </c>
      <c r="I1711" s="102">
        <v>14806750.381983005</v>
      </c>
      <c r="J1711" s="102">
        <v>14806750.381983005</v>
      </c>
      <c r="K1711" s="102">
        <v>14651433.946983004</v>
      </c>
      <c r="L1711" s="102">
        <v>14846356.454983003</v>
      </c>
      <c r="M1711" s="102">
        <v>14862308.611983005</v>
      </c>
      <c r="N1711" s="102">
        <v>14929990.641983004</v>
      </c>
      <c r="O1711" s="102">
        <v>15030630.691983003</v>
      </c>
      <c r="P1711" s="102">
        <v>14946164.884982999</v>
      </c>
      <c r="Q1711" s="102">
        <v>14626770.046983004</v>
      </c>
      <c r="R1711" s="102">
        <v>14897775.929983001</v>
      </c>
      <c r="S1711" s="102">
        <v>14971883.699983003</v>
      </c>
      <c r="T1711" s="102">
        <v>15239606.829983002</v>
      </c>
      <c r="U1711" s="102">
        <v>15242291.047983004</v>
      </c>
      <c r="V1711" s="102">
        <v>15291231.187983004</v>
      </c>
      <c r="W1711" s="102">
        <v>15116936.751583003</v>
      </c>
      <c r="X1711" s="102">
        <v>15175929.918583002</v>
      </c>
      <c r="Y1711" s="102">
        <v>15255898.431583002</v>
      </c>
      <c r="Z1711" s="102">
        <f ca="1">Calc!BG102</f>
        <v>15255898.431583002</v>
      </c>
      <c r="AB1711" s="102">
        <f ca="1">Tab1SDataShiftSummary[[#This Row],[Summary0]]-Tab1SDataShiftSummary[[#This Row],[Summary20]]</f>
        <v>-243852.30459999666</v>
      </c>
      <c r="AC1711" s="102">
        <f>Tab1SDataShiftSummary[[#This Row],[Summary1]]-Tab1SDataShiftSummary[[#This Row],[Summary0]]</f>
        <v>14871.399999996647</v>
      </c>
      <c r="AD1711" s="102">
        <f>Tab1SDataShiftSummary[[#This Row],[Summary2]]-Tab1SDataShiftSummary[[#This Row],[Summary1]]</f>
        <v>-9966.211000001058</v>
      </c>
      <c r="AE1711" s="102">
        <f>Tab1SDataShiftSummary[[#This Row],[Summary3]]-Tab1SDataShiftSummary[[#This Row],[Summary2]]</f>
        <v>-210200.93399999663</v>
      </c>
      <c r="AF1711" s="102">
        <f>Tab1SDataShiftSummary[[#This Row],[Summary4]]-Tab1SDataShiftSummary[[#This Row],[Summary3]]</f>
        <v>0</v>
      </c>
      <c r="AG1711" s="102">
        <f>Tab1SDataShiftSummary[[#This Row],[Summary5]]-Tab1SDataShiftSummary[[#This Row],[Summary4]]</f>
        <v>-155316.43500000052</v>
      </c>
      <c r="AH1711" s="102">
        <f>Tab1SDataShiftSummary[[#This Row],[Summary6]]-Tab1SDataShiftSummary[[#This Row],[Summary5]]</f>
        <v>194922.50799999945</v>
      </c>
      <c r="AI1711" s="102">
        <f>Tab1SDataShiftSummary[[#This Row],[Summary7]]-Tab1SDataShiftSummary[[#This Row],[Summary6]]</f>
        <v>15952.15700000152</v>
      </c>
      <c r="AJ1711" s="102">
        <f>Tab1SDataShiftSummary[[#This Row],[Summary8]]-Tab1SDataShiftSummary[[#This Row],[Summary7]]</f>
        <v>67682.029999999329</v>
      </c>
      <c r="AK1711" s="102">
        <f>Tab1SDataShiftSummary[[#This Row],[Summary9]]-Tab1SDataShiftSummary[[#This Row],[Summary8]]</f>
        <v>100640.04999999888</v>
      </c>
      <c r="AL1711" s="102">
        <f>Tab1SDataShiftSummary[[#This Row],[Summary10]]-Tab1SDataShiftSummary[[#This Row],[Summary9]]</f>
        <v>-84465.807000003755</v>
      </c>
      <c r="AM1711" s="102">
        <f>Tab1SDataShiftSummary[[#This Row],[Summary11]]-Tab1SDataShiftSummary[[#This Row],[Summary10]]</f>
        <v>-319394.8379999958</v>
      </c>
      <c r="AN1711" s="102">
        <f>Tab1SDataShiftSummary[[#This Row],[Summary12]]-Tab1SDataShiftSummary[[#This Row],[Summary11]]</f>
        <v>271005.88299999759</v>
      </c>
      <c r="AO1711" s="102">
        <f>Tab1SDataShiftSummary[[#This Row],[Summary13]]-Tab1SDataShiftSummary[[#This Row],[Summary12]]</f>
        <v>74107.770000001416</v>
      </c>
      <c r="AP1711" s="102">
        <f>Tab1SDataShiftSummary[[#This Row],[Summary14]]-Tab1SDataShiftSummary[[#This Row],[Summary13]]</f>
        <v>267723.12999999896</v>
      </c>
      <c r="AQ1711" s="102">
        <f>Tab1SDataShiftSummary[[#This Row],[Summary15]]-Tab1SDataShiftSummary[[#This Row],[Summary14]]</f>
        <v>2684.2180000022054</v>
      </c>
      <c r="AR1711" s="102">
        <f>Tab1SDataShiftSummary[[#This Row],[Summary16]]-Tab1SDataShiftSummary[[#This Row],[Summary15]]</f>
        <v>48940.140000000596</v>
      </c>
      <c r="AS1711" s="102">
        <f>Tab1SDataShiftSummary[[#This Row],[Summary17]]-Tab1SDataShiftSummary[[#This Row],[Summary16]]</f>
        <v>-174294.43640000187</v>
      </c>
      <c r="AT1711" s="102">
        <f>Tab1SDataShiftSummary[[#This Row],[Summary18]]-Tab1SDataShiftSummary[[#This Row],[Summary17]]</f>
        <v>58993.166999999434</v>
      </c>
      <c r="AU1711" s="102">
        <f>Tab1SDataShiftSummary[[#This Row],[Summary19]]-Tab1SDataShiftSummary[[#This Row],[Summary18]]</f>
        <v>79968.513000000268</v>
      </c>
      <c r="AV1711" s="102">
        <f ca="1">Tab1SDataShiftSummary[[#This Row],[Summary20]]-Tab1SDataShiftSummary[[#This Row],[Summary19]]</f>
        <v>0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11732457.665308001</v>
      </c>
      <c r="G1712" s="102">
        <v>11736800.725307999</v>
      </c>
      <c r="H1712" s="102">
        <v>11307480.723199999</v>
      </c>
      <c r="I1712" s="102">
        <v>10783537.618200002</v>
      </c>
      <c r="J1712" s="102">
        <v>10783537.618200002</v>
      </c>
      <c r="K1712" s="102">
        <v>10786666.4462</v>
      </c>
      <c r="L1712" s="102">
        <v>10830003.121182</v>
      </c>
      <c r="M1712" s="102">
        <v>10767822.561800001</v>
      </c>
      <c r="N1712" s="102">
        <v>11498804.098782001</v>
      </c>
      <c r="O1712" s="102">
        <v>11091532.721007997</v>
      </c>
      <c r="P1712" s="102">
        <v>11026540.265799997</v>
      </c>
      <c r="Q1712" s="102">
        <v>10932424.037800001</v>
      </c>
      <c r="R1712" s="102">
        <v>11039148.975799998</v>
      </c>
      <c r="S1712" s="102">
        <v>11058181.8258</v>
      </c>
      <c r="T1712" s="102">
        <v>11178672.791007999</v>
      </c>
      <c r="U1712" s="102">
        <v>11893113.623008002</v>
      </c>
      <c r="V1712" s="102">
        <v>11935634.963008001</v>
      </c>
      <c r="W1712" s="102">
        <v>11934805.281008</v>
      </c>
      <c r="X1712" s="102">
        <v>11994549.565990001</v>
      </c>
      <c r="Y1712" s="102">
        <v>12072772.370990001</v>
      </c>
      <c r="Z1712" s="102">
        <f ca="1">Calc!BH102</f>
        <v>12072772.370990001</v>
      </c>
      <c r="AB1712" s="102">
        <f ca="1">Tab1SDataShiftSummary[[#This Row],[Summary0]]-Tab1SDataShiftSummary[[#This Row],[Summary20]]</f>
        <v>-340314.70568200015</v>
      </c>
      <c r="AC1712" s="102">
        <f>Tab1SDataShiftSummary[[#This Row],[Summary1]]-Tab1SDataShiftSummary[[#This Row],[Summary0]]</f>
        <v>4343.0599999986589</v>
      </c>
      <c r="AD1712" s="102">
        <f>Tab1SDataShiftSummary[[#This Row],[Summary2]]-Tab1SDataShiftSummary[[#This Row],[Summary1]]</f>
        <v>-429320.00210800022</v>
      </c>
      <c r="AE1712" s="102">
        <f>Tab1SDataShiftSummary[[#This Row],[Summary3]]-Tab1SDataShiftSummary[[#This Row],[Summary2]]</f>
        <v>-523943.10499999672</v>
      </c>
      <c r="AF1712" s="102">
        <f>Tab1SDataShiftSummary[[#This Row],[Summary4]]-Tab1SDataShiftSummary[[#This Row],[Summary3]]</f>
        <v>0</v>
      </c>
      <c r="AG1712" s="102">
        <f>Tab1SDataShiftSummary[[#This Row],[Summary5]]-Tab1SDataShiftSummary[[#This Row],[Summary4]]</f>
        <v>3128.827999997884</v>
      </c>
      <c r="AH1712" s="102">
        <f>Tab1SDataShiftSummary[[#This Row],[Summary6]]-Tab1SDataShiftSummary[[#This Row],[Summary5]]</f>
        <v>43336.674982000142</v>
      </c>
      <c r="AI1712" s="102">
        <f>Tab1SDataShiftSummary[[#This Row],[Summary7]]-Tab1SDataShiftSummary[[#This Row],[Summary6]]</f>
        <v>-62180.559381999075</v>
      </c>
      <c r="AJ1712" s="102">
        <f>Tab1SDataShiftSummary[[#This Row],[Summary8]]-Tab1SDataShiftSummary[[#This Row],[Summary7]]</f>
        <v>730981.53698199987</v>
      </c>
      <c r="AK1712" s="102">
        <f>Tab1SDataShiftSummary[[#This Row],[Summary9]]-Tab1SDataShiftSummary[[#This Row],[Summary8]]</f>
        <v>-407271.37777400389</v>
      </c>
      <c r="AL1712" s="102">
        <f>Tab1SDataShiftSummary[[#This Row],[Summary10]]-Tab1SDataShiftSummary[[#This Row],[Summary9]]</f>
        <v>-64992.455207999796</v>
      </c>
      <c r="AM1712" s="102">
        <f>Tab1SDataShiftSummary[[#This Row],[Summary11]]-Tab1SDataShiftSummary[[#This Row],[Summary10]]</f>
        <v>-94116.227999996394</v>
      </c>
      <c r="AN1712" s="102">
        <f>Tab1SDataShiftSummary[[#This Row],[Summary12]]-Tab1SDataShiftSummary[[#This Row],[Summary11]]</f>
        <v>106724.93799999729</v>
      </c>
      <c r="AO1712" s="102">
        <f>Tab1SDataShiftSummary[[#This Row],[Summary13]]-Tab1SDataShiftSummary[[#This Row],[Summary12]]</f>
        <v>19032.85000000149</v>
      </c>
      <c r="AP1712" s="102">
        <f>Tab1SDataShiftSummary[[#This Row],[Summary14]]-Tab1SDataShiftSummary[[#This Row],[Summary13]]</f>
        <v>120490.96520799957</v>
      </c>
      <c r="AQ1712" s="102">
        <f>Tab1SDataShiftSummary[[#This Row],[Summary15]]-Tab1SDataShiftSummary[[#This Row],[Summary14]]</f>
        <v>714440.83200000226</v>
      </c>
      <c r="AR1712" s="102">
        <f>Tab1SDataShiftSummary[[#This Row],[Summary16]]-Tab1SDataShiftSummary[[#This Row],[Summary15]]</f>
        <v>42521.339999999851</v>
      </c>
      <c r="AS1712" s="102">
        <f>Tab1SDataShiftSummary[[#This Row],[Summary17]]-Tab1SDataShiftSummary[[#This Row],[Summary16]]</f>
        <v>-829.68200000189245</v>
      </c>
      <c r="AT1712" s="102">
        <f>Tab1SDataShiftSummary[[#This Row],[Summary18]]-Tab1SDataShiftSummary[[#This Row],[Summary17]]</f>
        <v>59744.284982001409</v>
      </c>
      <c r="AU1712" s="102">
        <f>Tab1SDataShiftSummary[[#This Row],[Summary19]]-Tab1SDataShiftSummary[[#This Row],[Summary18]]</f>
        <v>78222.804999999702</v>
      </c>
      <c r="AV1712" s="102">
        <f ca="1">Tab1SDataShiftSummary[[#This Row],[Summary20]]-Tab1SDataShiftSummary[[#This Row],[Summary19]]</f>
        <v>0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-166739.08372528423</v>
      </c>
      <c r="H1713" s="102">
        <v>-160254.46673604252</v>
      </c>
      <c r="I1713" s="102">
        <v>-160254.46673604252</v>
      </c>
      <c r="J1713" s="102">
        <v>-160254.46673604252</v>
      </c>
      <c r="K1713" s="102">
        <v>-160326.04204354252</v>
      </c>
      <c r="L1713" s="102">
        <v>-160507.00248604253</v>
      </c>
      <c r="M1713" s="102">
        <v>-160578.57779354253</v>
      </c>
      <c r="N1713" s="102">
        <v>-160578.57779354253</v>
      </c>
      <c r="O1713" s="102">
        <v>-160578.57779354253</v>
      </c>
      <c r="P1713" s="102">
        <v>-160617.84948604251</v>
      </c>
      <c r="Q1713" s="102">
        <v>-160855.53873604254</v>
      </c>
      <c r="R1713" s="102">
        <v>-160855.53873604254</v>
      </c>
      <c r="S1713" s="102">
        <v>-160855.53873604254</v>
      </c>
      <c r="T1713" s="102">
        <v>-160855.53873604254</v>
      </c>
      <c r="U1713" s="102">
        <v>-306038.39946953743</v>
      </c>
      <c r="V1713" s="102">
        <v>-306159.52090703748</v>
      </c>
      <c r="W1713" s="102">
        <v>-305615.64647535124</v>
      </c>
      <c r="X1713" s="102">
        <v>-302891.56024164497</v>
      </c>
      <c r="Y1713" s="102">
        <v>-306875.41337731993</v>
      </c>
      <c r="Z1713" s="102">
        <f ca="1">Calc!BI102</f>
        <v>-306875.41337731993</v>
      </c>
      <c r="AB1713" s="102">
        <f ca="1">Tab1SDataShiftSummary[[#This Row],[Summary0]]-Tab1SDataShiftSummary[[#This Row],[Summary20]]</f>
        <v>139708.34474403571</v>
      </c>
      <c r="AC1713" s="102">
        <f>Tab1SDataShiftSummary[[#This Row],[Summary1]]-Tab1SDataShiftSummary[[#This Row],[Summary0]]</f>
        <v>427.98490799998399</v>
      </c>
      <c r="AD1713" s="102">
        <f>Tab1SDataShiftSummary[[#This Row],[Summary2]]-Tab1SDataShiftSummary[[#This Row],[Summary1]]</f>
        <v>6484.6169892417092</v>
      </c>
      <c r="AE1713" s="102">
        <f>Tab1SDataShiftSummary[[#This Row],[Summary3]]-Tab1SDataShiftSummary[[#This Row],[Summary2]]</f>
        <v>0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-71.575307499995688</v>
      </c>
      <c r="AH1713" s="102">
        <f>Tab1SDataShiftSummary[[#This Row],[Summary6]]-Tab1SDataShiftSummary[[#This Row],[Summary5]]</f>
        <v>-180.96044250001432</v>
      </c>
      <c r="AI1713" s="102">
        <f>Tab1SDataShiftSummary[[#This Row],[Summary7]]-Tab1SDataShiftSummary[[#This Row],[Summary6]]</f>
        <v>-71.575307499995688</v>
      </c>
      <c r="AJ1713" s="102">
        <f>Tab1SDataShiftSummary[[#This Row],[Summary8]]-Tab1SDataShiftSummary[[#This Row],[Summary7]]</f>
        <v>0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-39.271692499984056</v>
      </c>
      <c r="AM1713" s="102">
        <f>Tab1SDataShiftSummary[[#This Row],[Summary11]]-Tab1SDataShiftSummary[[#This Row],[Summary10]]</f>
        <v>-237.68925000002491</v>
      </c>
      <c r="AN1713" s="102">
        <f>Tab1SDataShiftSummary[[#This Row],[Summary12]]-Tab1SDataShiftSummary[[#This Row],[Summary11]]</f>
        <v>0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-145182.86073349489</v>
      </c>
      <c r="AR1713" s="102">
        <f>Tab1SDataShiftSummary[[#This Row],[Summary16]]-Tab1SDataShiftSummary[[#This Row],[Summary15]]</f>
        <v>-121.12143750005635</v>
      </c>
      <c r="AS1713" s="102">
        <f>Tab1SDataShiftSummary[[#This Row],[Summary17]]-Tab1SDataShiftSummary[[#This Row],[Summary16]]</f>
        <v>543.87443168624304</v>
      </c>
      <c r="AT1713" s="102">
        <f>Tab1SDataShiftSummary[[#This Row],[Summary18]]-Tab1SDataShiftSummary[[#This Row],[Summary17]]</f>
        <v>2724.0862337062717</v>
      </c>
      <c r="AU1713" s="102">
        <f>Tab1SDataShiftSummary[[#This Row],[Summary19]]-Tab1SDataShiftSummary[[#This Row],[Summary18]]</f>
        <v>-3983.853135674959</v>
      </c>
      <c r="AV1713" s="102">
        <f ca="1">Tab1SDataShiftSummary[[#This Row],[Summary20]]-Tab1SDataShiftSummary[[#This Row],[Summary19]]</f>
        <v>0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9043206.5649830177</v>
      </c>
      <c r="G1714" s="102">
        <v>8801360.0849830136</v>
      </c>
      <c r="H1714" s="102">
        <v>8806369.3779830262</v>
      </c>
      <c r="I1714" s="102">
        <v>9165749.3779830262</v>
      </c>
      <c r="J1714" s="102">
        <v>9165749.3779830262</v>
      </c>
      <c r="K1714" s="102">
        <v>9160740.0849830136</v>
      </c>
      <c r="L1714" s="102">
        <v>9257704.9629830196</v>
      </c>
      <c r="M1714" s="102">
        <v>9252695.6699830219</v>
      </c>
      <c r="N1714" s="102">
        <v>9397061.6699830219</v>
      </c>
      <c r="O1714" s="102">
        <v>9961821.6699830219</v>
      </c>
      <c r="P1714" s="102">
        <v>9961212.1629830077</v>
      </c>
      <c r="Q1714" s="102">
        <v>9790006.5779830292</v>
      </c>
      <c r="R1714" s="102">
        <v>9817866.5779830292</v>
      </c>
      <c r="S1714" s="102">
        <v>9817866.5779830292</v>
      </c>
      <c r="T1714" s="102">
        <v>9915935.3779830337</v>
      </c>
      <c r="U1714" s="102">
        <v>9901253.7134130672</v>
      </c>
      <c r="V1714" s="102">
        <v>9949702.2884130701</v>
      </c>
      <c r="W1714" s="102">
        <v>9490844.2745915577</v>
      </c>
      <c r="X1714" s="102">
        <v>9767379.1736490652</v>
      </c>
      <c r="Y1714" s="102">
        <v>9820127.5068790689</v>
      </c>
      <c r="Z1714" s="102">
        <f ca="1">Z1710+Z1705</f>
        <v>9820127.5068790689</v>
      </c>
      <c r="AB1714" s="102">
        <f ca="1">Tab1SDataShiftSummary[[#This Row],[Summary0]]-Tab1SDataShiftSummary[[#This Row],[Summary20]]</f>
        <v>-776920.94189605117</v>
      </c>
      <c r="AC1714" s="1203">
        <f>Tab1SDataShiftSummary[[#This Row],[Summary1]]-Tab1SDataShiftSummary[[#This Row],[Summary0]]</f>
        <v>-241846.48000000417</v>
      </c>
      <c r="AD1714" s="102">
        <f>Tab1SDataShiftSummary[[#This Row],[Summary2]]-Tab1SDataShiftSummary[[#This Row],[Summary1]]</f>
        <v>5009.2930000126362</v>
      </c>
      <c r="AE1714" s="102">
        <f>Tab1SDataShiftSummary[[#This Row],[Summary3]]-Tab1SDataShiftSummary[[#This Row],[Summary2]]</f>
        <v>359380</v>
      </c>
      <c r="AF1714" s="102">
        <f>Tab1SDataShiftSummary[[#This Row],[Summary4]]-Tab1SDataShiftSummary[[#This Row],[Summary3]]</f>
        <v>0</v>
      </c>
      <c r="AG1714" s="102">
        <f>Tab1SDataShiftSummary[[#This Row],[Summary5]]-Tab1SDataShiftSummary[[#This Row],[Summary4]]</f>
        <v>-5009.2930000126362</v>
      </c>
      <c r="AH1714" s="102">
        <f>Tab1SDataShiftSummary[[#This Row],[Summary6]]-Tab1SDataShiftSummary[[#This Row],[Summary5]]</f>
        <v>96964.87800000608</v>
      </c>
      <c r="AI1714" s="102">
        <f>Tab1SDataShiftSummary[[#This Row],[Summary7]]-Tab1SDataShiftSummary[[#This Row],[Summary6]]</f>
        <v>-5009.292999997735</v>
      </c>
      <c r="AJ1714" s="102">
        <f>Tab1SDataShiftSummary[[#This Row],[Summary8]]-Tab1SDataShiftSummary[[#This Row],[Summary7]]</f>
        <v>144366</v>
      </c>
      <c r="AK1714" s="102">
        <f>Tab1SDataShiftSummary[[#This Row],[Summary9]]-Tab1SDataShiftSummary[[#This Row],[Summary8]]</f>
        <v>564760</v>
      </c>
      <c r="AL1714" s="102">
        <f>Tab1SDataShiftSummary[[#This Row],[Summary10]]-Tab1SDataShiftSummary[[#This Row],[Summary9]]</f>
        <v>-609.50700001418591</v>
      </c>
      <c r="AM1714" s="102">
        <f>Tab1SDataShiftSummary[[#This Row],[Summary11]]-Tab1SDataShiftSummary[[#This Row],[Summary10]]</f>
        <v>-171205.58499997854</v>
      </c>
      <c r="AN1714" s="102">
        <f>Tab1SDataShiftSummary[[#This Row],[Summary12]]-Tab1SDataShiftSummary[[#This Row],[Summary11]]</f>
        <v>27860</v>
      </c>
      <c r="AO1714" s="102">
        <f>Tab1SDataShiftSummary[[#This Row],[Summary13]]-Tab1SDataShiftSummary[[#This Row],[Summary12]]</f>
        <v>0</v>
      </c>
      <c r="AP1714" s="102">
        <f>Tab1SDataShiftSummary[[#This Row],[Summary14]]-Tab1SDataShiftSummary[[#This Row],[Summary13]]</f>
        <v>98068.80000000447</v>
      </c>
      <c r="AQ1714" s="102">
        <f>Tab1SDataShiftSummary[[#This Row],[Summary15]]-Tab1SDataShiftSummary[[#This Row],[Summary14]]</f>
        <v>-14681.664569966495</v>
      </c>
      <c r="AR1714" s="102">
        <f>Tab1SDataShiftSummary[[#This Row],[Summary16]]-Tab1SDataShiftSummary[[#This Row],[Summary15]]</f>
        <v>48448.57500000298</v>
      </c>
      <c r="AS1714" s="102">
        <f>Tab1SDataShiftSummary[[#This Row],[Summary17]]-Tab1SDataShiftSummary[[#This Row],[Summary16]]</f>
        <v>-458858.01382151246</v>
      </c>
      <c r="AT1714" s="102">
        <f>Tab1SDataShiftSummary[[#This Row],[Summary18]]-Tab1SDataShiftSummary[[#This Row],[Summary17]]</f>
        <v>276534.89905750751</v>
      </c>
      <c r="AU1714" s="102">
        <f>Tab1SDataShiftSummary[[#This Row],[Summary19]]-Tab1SDataShiftSummary[[#This Row],[Summary18]]</f>
        <v>52748.333230003715</v>
      </c>
      <c r="AV1714" s="102">
        <f ca="1">Tab1SDataShiftSummary[[#This Row],[Summary20]]-Tab1SDataShiftSummary[[#This Row],[Summary19]]</f>
        <v>0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1.2740486040233427</v>
      </c>
      <c r="G1715" s="331">
        <v>1.316745425449303</v>
      </c>
      <c r="H1715" s="331">
        <v>1.314971219020862</v>
      </c>
      <c r="I1715" s="331">
        <v>1.2381712051621898</v>
      </c>
      <c r="J1715" s="331">
        <v>1.2381712051621898</v>
      </c>
      <c r="K1715" s="331">
        <v>1.2038558902974781</v>
      </c>
      <c r="L1715" s="331">
        <v>1.2209002170180285</v>
      </c>
      <c r="M1715" s="331">
        <v>1.2241398512933099</v>
      </c>
      <c r="N1715" s="331">
        <v>1.2074057370856166</v>
      </c>
      <c r="O1715" s="331">
        <v>1.1307446940122829</v>
      </c>
      <c r="P1715" s="331">
        <v>1.1132821741258634</v>
      </c>
      <c r="Q1715" s="331">
        <v>1.074618110479262</v>
      </c>
      <c r="R1715" s="331">
        <v>1.1356691857790688</v>
      </c>
      <c r="S1715" s="331">
        <v>1.1522367866916068</v>
      </c>
      <c r="T1715" s="331">
        <v>1.1901648640379348</v>
      </c>
      <c r="U1715" s="331">
        <v>1.1834628448211639</v>
      </c>
      <c r="V1715" s="331">
        <v>1.196376181770437</v>
      </c>
      <c r="W1715" s="331">
        <v>1.2512162377083362</v>
      </c>
      <c r="X1715" s="331">
        <v>1.2731722711862308</v>
      </c>
      <c r="Y1715" s="331">
        <v>1.2321563166658964</v>
      </c>
      <c r="Z1715" s="331">
        <f ca="1">Z1707/ABS(Z1706)</f>
        <v>1.2321563166658964</v>
      </c>
      <c r="AA1715" s="331"/>
      <c r="AB1715" s="102">
        <f ca="1">Tab1SDataShiftSummary[[#This Row],[Summary0]]-Tab1SDataShiftSummary[[#This Row],[Summary20]]</f>
        <v>4.1892287357446323E-2</v>
      </c>
      <c r="AC1715" s="102">
        <f>Tab1SDataShiftSummary[[#This Row],[Summary1]]-Tab1SDataShiftSummary[[#This Row],[Summary0]]</f>
        <v>4.2696821425960207E-2</v>
      </c>
      <c r="AD1715" s="102">
        <f>Tab1SDataShiftSummary[[#This Row],[Summary2]]-Tab1SDataShiftSummary[[#This Row],[Summary1]]</f>
        <v>-1.7742064284409498E-3</v>
      </c>
      <c r="AE1715" s="102">
        <f>Tab1SDataShiftSummary[[#This Row],[Summary3]]-Tab1SDataShiftSummary[[#This Row],[Summary2]]</f>
        <v>-7.6800013858672189E-2</v>
      </c>
      <c r="AF1715" s="102">
        <f>Tab1SDataShiftSummary[[#This Row],[Summary4]]-Tab1SDataShiftSummary[[#This Row],[Summary3]]</f>
        <v>0</v>
      </c>
      <c r="AG1715" s="102">
        <f>Tab1SDataShiftSummary[[#This Row],[Summary5]]-Tab1SDataShiftSummary[[#This Row],[Summary4]]</f>
        <v>-3.4315314864711732E-2</v>
      </c>
      <c r="AH1715" s="102">
        <f>Tab1SDataShiftSummary[[#This Row],[Summary6]]-Tab1SDataShiftSummary[[#This Row],[Summary5]]</f>
        <v>1.7044326720550451E-2</v>
      </c>
      <c r="AI1715" s="102">
        <f>Tab1SDataShiftSummary[[#This Row],[Summary7]]-Tab1SDataShiftSummary[[#This Row],[Summary6]]</f>
        <v>3.2396342752814E-3</v>
      </c>
      <c r="AJ1715" s="102">
        <f>Tab1SDataShiftSummary[[#This Row],[Summary8]]-Tab1SDataShiftSummary[[#This Row],[Summary7]]</f>
        <v>-1.6734114207693329E-2</v>
      </c>
      <c r="AK1715" s="102">
        <f>Tab1SDataShiftSummary[[#This Row],[Summary9]]-Tab1SDataShiftSummary[[#This Row],[Summary8]]</f>
        <v>-7.6661043073333657E-2</v>
      </c>
      <c r="AL1715" s="102">
        <f>Tab1SDataShiftSummary[[#This Row],[Summary10]]-Tab1SDataShiftSummary[[#This Row],[Summary9]]</f>
        <v>-1.7462519886419559E-2</v>
      </c>
      <c r="AM1715" s="102">
        <f>Tab1SDataShiftSummary[[#This Row],[Summary11]]-Tab1SDataShiftSummary[[#This Row],[Summary10]]</f>
        <v>-3.8664063646601354E-2</v>
      </c>
      <c r="AN1715" s="102">
        <f>Tab1SDataShiftSummary[[#This Row],[Summary12]]-Tab1SDataShiftSummary[[#This Row],[Summary11]]</f>
        <v>6.1051075299806801E-2</v>
      </c>
      <c r="AO1715" s="102">
        <f>Tab1SDataShiftSummary[[#This Row],[Summary13]]-Tab1SDataShiftSummary[[#This Row],[Summary12]]</f>
        <v>1.656760091253795E-2</v>
      </c>
      <c r="AP1715" s="102">
        <f>Tab1SDataShiftSummary[[#This Row],[Summary14]]-Tab1SDataShiftSummary[[#This Row],[Summary13]]</f>
        <v>3.7928077346327971E-2</v>
      </c>
      <c r="AQ1715" s="102">
        <f>Tab1SDataShiftSummary[[#This Row],[Summary15]]-Tab1SDataShiftSummary[[#This Row],[Summary14]]</f>
        <v>-6.702019216770827E-3</v>
      </c>
      <c r="AR1715" s="102">
        <f>Tab1SDataShiftSummary[[#This Row],[Summary16]]-Tab1SDataShiftSummary[[#This Row],[Summary15]]</f>
        <v>1.2913336949273102E-2</v>
      </c>
      <c r="AS1715" s="102">
        <f>Tab1SDataShiftSummary[[#This Row],[Summary17]]-Tab1SDataShiftSummary[[#This Row],[Summary16]]</f>
        <v>5.4840055937899201E-2</v>
      </c>
      <c r="AT1715" s="102">
        <f>Tab1SDataShiftSummary[[#This Row],[Summary18]]-Tab1SDataShiftSummary[[#This Row],[Summary17]]</f>
        <v>2.1956033477894543E-2</v>
      </c>
      <c r="AU1715" s="102">
        <f>Tab1SDataShiftSummary[[#This Row],[Summary19]]-Tab1SDataShiftSummary[[#This Row],[Summary18]]</f>
        <v>-4.1015954520334352E-2</v>
      </c>
      <c r="AV1715" s="102">
        <f ca="1">Tab1SDataShiftSummary[[#This Row],[Summary20]]-Tab1SDataShiftSummary[[#This Row],[Summary19]]</f>
        <v>0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2087856.6800000002</v>
      </c>
      <c r="G1716" s="102">
        <v>2242728.84</v>
      </c>
      <c r="H1716" s="102">
        <v>2231227.1999999997</v>
      </c>
      <c r="I1716" s="102">
        <v>2234926.3099999996</v>
      </c>
      <c r="J1716" s="102">
        <v>2234926.3099999996</v>
      </c>
      <c r="K1716" s="102">
        <v>2227725.5700000003</v>
      </c>
      <c r="L1716" s="102">
        <v>2222241.7999999998</v>
      </c>
      <c r="M1716" s="102">
        <v>2203952.9500000002</v>
      </c>
      <c r="N1716" s="102">
        <v>2191659.87</v>
      </c>
      <c r="O1716" s="102">
        <v>2184230.6100000003</v>
      </c>
      <c r="P1716" s="102">
        <v>2175181.2599999998</v>
      </c>
      <c r="Q1716" s="102">
        <v>2279685.41</v>
      </c>
      <c r="R1716" s="102">
        <v>2248274.25</v>
      </c>
      <c r="S1716" s="102">
        <v>2276182.42</v>
      </c>
      <c r="T1716" s="102">
        <v>2241282.91</v>
      </c>
      <c r="U1716" s="102">
        <v>2399051.7199999997</v>
      </c>
      <c r="V1716" s="102">
        <v>2416559.56</v>
      </c>
      <c r="W1716" s="102">
        <v>2399737.8600000003</v>
      </c>
      <c r="X1716" s="102">
        <v>2229471</v>
      </c>
      <c r="Y1716" s="102">
        <v>2345062.83</v>
      </c>
      <c r="Z1716" s="102">
        <f ca="1">Calc!BM102</f>
        <v>2345062.83</v>
      </c>
      <c r="AB1716" s="1203">
        <f ca="1">Tab1SDataShiftSummary[[#This Row],[Summary0]]-Tab1SDataShiftSummary[[#This Row],[Summary20]]</f>
        <v>-257206.14999999991</v>
      </c>
      <c r="AC1716" s="1203">
        <f>Tab1SDataShiftSummary[[#This Row],[Summary1]]-Tab1SDataShiftSummary[[#This Row],[Summary0]]</f>
        <v>154872.15999999968</v>
      </c>
      <c r="AD1716" s="1203">
        <f>Tab1SDataShiftSummary[[#This Row],[Summary2]]-Tab1SDataShiftSummary[[#This Row],[Summary1]]</f>
        <v>-11501.64000000013</v>
      </c>
      <c r="AE1716" s="1203">
        <f>Tab1SDataShiftSummary[[#This Row],[Summary3]]-Tab1SDataShiftSummary[[#This Row],[Summary2]]</f>
        <v>3699.1099999998696</v>
      </c>
      <c r="AF1716" s="1203">
        <f>Tab1SDataShiftSummary[[#This Row],[Summary4]]-Tab1SDataShiftSummary[[#This Row],[Summary3]]</f>
        <v>0</v>
      </c>
      <c r="AG1716" s="1203">
        <f>Tab1SDataShiftSummary[[#This Row],[Summary5]]-Tab1SDataShiftSummary[[#This Row],[Summary4]]</f>
        <v>-7200.7399999992922</v>
      </c>
      <c r="AH1716" s="1203">
        <f>Tab1SDataShiftSummary[[#This Row],[Summary6]]-Tab1SDataShiftSummary[[#This Row],[Summary5]]</f>
        <v>-5483.7700000004843</v>
      </c>
      <c r="AI1716" s="1203">
        <f>Tab1SDataShiftSummary[[#This Row],[Summary7]]-Tab1SDataShiftSummary[[#This Row],[Summary6]]</f>
        <v>-18288.849999999627</v>
      </c>
      <c r="AJ1716" s="1203">
        <f>Tab1SDataShiftSummary[[#This Row],[Summary8]]-Tab1SDataShiftSummary[[#This Row],[Summary7]]</f>
        <v>-12293.080000000075</v>
      </c>
      <c r="AK1716" s="1203">
        <f>Tab1SDataShiftSummary[[#This Row],[Summary9]]-Tab1SDataShiftSummary[[#This Row],[Summary8]]</f>
        <v>-7429.2599999997765</v>
      </c>
      <c r="AL1716" s="1203">
        <f>Tab1SDataShiftSummary[[#This Row],[Summary10]]-Tab1SDataShiftSummary[[#This Row],[Summary9]]</f>
        <v>-9049.3500000005588</v>
      </c>
      <c r="AM1716" s="1203">
        <f>Tab1SDataShiftSummary[[#This Row],[Summary11]]-Tab1SDataShiftSummary[[#This Row],[Summary10]]</f>
        <v>104504.15000000037</v>
      </c>
      <c r="AN1716" s="1203">
        <f>Tab1SDataShiftSummary[[#This Row],[Summary12]]-Tab1SDataShiftSummary[[#This Row],[Summary11]]</f>
        <v>-31411.160000000149</v>
      </c>
      <c r="AO1716" s="1203">
        <f>Tab1SDataShiftSummary[[#This Row],[Summary13]]-Tab1SDataShiftSummary[[#This Row],[Summary12]]</f>
        <v>27908.169999999925</v>
      </c>
      <c r="AP1716" s="1203">
        <f>Tab1SDataShiftSummary[[#This Row],[Summary14]]-Tab1SDataShiftSummary[[#This Row],[Summary13]]</f>
        <v>-34899.509999999776</v>
      </c>
      <c r="AQ1716" s="1203">
        <f>Tab1SDataShiftSummary[[#This Row],[Summary15]]-Tab1SDataShiftSummary[[#This Row],[Summary14]]</f>
        <v>157768.80999999959</v>
      </c>
      <c r="AR1716" s="1203">
        <f>Tab1SDataShiftSummary[[#This Row],[Summary16]]-Tab1SDataShiftSummary[[#This Row],[Summary15]]</f>
        <v>17507.840000000317</v>
      </c>
      <c r="AS1716" s="1203">
        <f>Tab1SDataShiftSummary[[#This Row],[Summary17]]-Tab1SDataShiftSummary[[#This Row],[Summary16]]</f>
        <v>-16821.699999999721</v>
      </c>
      <c r="AT1716" s="1203">
        <f>Tab1SDataShiftSummary[[#This Row],[Summary18]]-Tab1SDataShiftSummary[[#This Row],[Summary17]]</f>
        <v>-170266.86000000034</v>
      </c>
      <c r="AU1716" s="1203">
        <f>Tab1SDataShiftSummary[[#This Row],[Summary19]]-Tab1SDataShiftSummary[[#This Row],[Summary18]]</f>
        <v>115591.83000000007</v>
      </c>
      <c r="AV1716" s="1203">
        <f ca="1">Tab1SDataShiftSummary[[#This Row],[Summary20]]-Tab1SDataShiftSummary[[#This Row],[Summary19]]</f>
        <v>0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18777053.489999998</v>
      </c>
      <c r="G1717" s="102">
        <v>18788795.710000001</v>
      </c>
      <c r="H1717" s="102">
        <v>18758068.495999999</v>
      </c>
      <c r="I1717" s="102">
        <v>18160944.452</v>
      </c>
      <c r="J1717" s="102">
        <v>18160944.452</v>
      </c>
      <c r="K1717" s="102">
        <v>18059333.899999999</v>
      </c>
      <c r="L1717" s="102">
        <v>18127326.449999999</v>
      </c>
      <c r="M1717" s="102">
        <v>18183319.599999998</v>
      </c>
      <c r="N1717" s="102">
        <v>18148547.710000001</v>
      </c>
      <c r="O1717" s="102">
        <v>17676860.739999995</v>
      </c>
      <c r="P1717" s="102">
        <v>17579149.899999999</v>
      </c>
      <c r="Q1717" s="102">
        <v>17290305.817000002</v>
      </c>
      <c r="R1717" s="102">
        <v>17528777.059999999</v>
      </c>
      <c r="S1717" s="102">
        <v>17573717.099999998</v>
      </c>
      <c r="T1717" s="102">
        <v>17808041.299999997</v>
      </c>
      <c r="U1717" s="102">
        <v>17765510.300000001</v>
      </c>
      <c r="V1717" s="102">
        <v>17740982.599999998</v>
      </c>
      <c r="W1717" s="102">
        <v>18015110.774999999</v>
      </c>
      <c r="X1717" s="102">
        <v>17998359.625</v>
      </c>
      <c r="Y1717" s="102">
        <v>17909916.400000002</v>
      </c>
      <c r="Z1717" s="102">
        <f ca="1">Calc!BN102</f>
        <v>17909916.400000002</v>
      </c>
      <c r="AB1717" s="102">
        <f ca="1">Tab1SDataShiftSummary[[#This Row],[Summary0]]-Tab1SDataShiftSummary[[#This Row],[Summary20]]</f>
        <v>867137.08999999613</v>
      </c>
      <c r="AC1717" s="102">
        <f>Tab1SDataShiftSummary[[#This Row],[Summary1]]-Tab1SDataShiftSummary[[#This Row],[Summary0]]</f>
        <v>11742.220000002533</v>
      </c>
      <c r="AD1717" s="102">
        <f>Tab1SDataShiftSummary[[#This Row],[Summary2]]-Tab1SDataShiftSummary[[#This Row],[Summary1]]</f>
        <v>-30727.21400000155</v>
      </c>
      <c r="AE1717" s="102">
        <f>Tab1SDataShiftSummary[[#This Row],[Summary3]]-Tab1SDataShiftSummary[[#This Row],[Summary2]]</f>
        <v>-597124.04399999976</v>
      </c>
      <c r="AF1717" s="102">
        <f>Tab1SDataShiftSummary[[#This Row],[Summary4]]-Tab1SDataShiftSummary[[#This Row],[Summary3]]</f>
        <v>0</v>
      </c>
      <c r="AG1717" s="102">
        <f>Tab1SDataShiftSummary[[#This Row],[Summary5]]-Tab1SDataShiftSummary[[#This Row],[Summary4]]</f>
        <v>-101610.55200000107</v>
      </c>
      <c r="AH1717" s="102">
        <f>Tab1SDataShiftSummary[[#This Row],[Summary6]]-Tab1SDataShiftSummary[[#This Row],[Summary5]]</f>
        <v>67992.550000000745</v>
      </c>
      <c r="AI1717" s="102">
        <f>Tab1SDataShiftSummary[[#This Row],[Summary7]]-Tab1SDataShiftSummary[[#This Row],[Summary6]]</f>
        <v>55993.14999999851</v>
      </c>
      <c r="AJ1717" s="102">
        <f>Tab1SDataShiftSummary[[#This Row],[Summary8]]-Tab1SDataShiftSummary[[#This Row],[Summary7]]</f>
        <v>-34771.889999996871</v>
      </c>
      <c r="AK1717" s="102">
        <f>Tab1SDataShiftSummary[[#This Row],[Summary9]]-Tab1SDataShiftSummary[[#This Row],[Summary8]]</f>
        <v>-471686.97000000626</v>
      </c>
      <c r="AL1717" s="102">
        <f>Tab1SDataShiftSummary[[#This Row],[Summary10]]-Tab1SDataShiftSummary[[#This Row],[Summary9]]</f>
        <v>-97710.839999996126</v>
      </c>
      <c r="AM1717" s="102">
        <f>Tab1SDataShiftSummary[[#This Row],[Summary11]]-Tab1SDataShiftSummary[[#This Row],[Summary10]]</f>
        <v>-288844.08299999684</v>
      </c>
      <c r="AN1717" s="102">
        <f>Tab1SDataShiftSummary[[#This Row],[Summary12]]-Tab1SDataShiftSummary[[#This Row],[Summary11]]</f>
        <v>238471.24299999699</v>
      </c>
      <c r="AO1717" s="102">
        <f>Tab1SDataShiftSummary[[#This Row],[Summary13]]-Tab1SDataShiftSummary[[#This Row],[Summary12]]</f>
        <v>44940.039999999106</v>
      </c>
      <c r="AP1717" s="102">
        <f>Tab1SDataShiftSummary[[#This Row],[Summary14]]-Tab1SDataShiftSummary[[#This Row],[Summary13]]</f>
        <v>234324.19999999925</v>
      </c>
      <c r="AQ1717" s="102">
        <f>Tab1SDataShiftSummary[[#This Row],[Summary15]]-Tab1SDataShiftSummary[[#This Row],[Summary14]]</f>
        <v>-42530.999999996275</v>
      </c>
      <c r="AR1717" s="102">
        <f>Tab1SDataShiftSummary[[#This Row],[Summary16]]-Tab1SDataShiftSummary[[#This Row],[Summary15]]</f>
        <v>-24527.70000000298</v>
      </c>
      <c r="AS1717" s="102">
        <f>Tab1SDataShiftSummary[[#This Row],[Summary17]]-Tab1SDataShiftSummary[[#This Row],[Summary16]]</f>
        <v>274128.17500000075</v>
      </c>
      <c r="AT1717" s="102">
        <f>Tab1SDataShiftSummary[[#This Row],[Summary18]]-Tab1SDataShiftSummary[[#This Row],[Summary17]]</f>
        <v>-16751.14999999851</v>
      </c>
      <c r="AU1717" s="102">
        <f>Tab1SDataShiftSummary[[#This Row],[Summary19]]-Tab1SDataShiftSummary[[#This Row],[Summary18]]</f>
        <v>-88443.224999997765</v>
      </c>
      <c r="AV1717" s="102">
        <f ca="1">Tab1SDataShiftSummary[[#This Row],[Summary20]]-Tab1SDataShiftSummary[[#This Row],[Summary19]]</f>
        <v>0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1555260</v>
      </c>
      <c r="G1718" s="102">
        <v>1555624.5</v>
      </c>
      <c r="H1718" s="102">
        <v>1563570</v>
      </c>
      <c r="I1718" s="102">
        <v>1581810</v>
      </c>
      <c r="J1718" s="102">
        <v>1581810</v>
      </c>
      <c r="K1718" s="102">
        <v>1556820</v>
      </c>
      <c r="L1718" s="102">
        <v>1598460</v>
      </c>
      <c r="M1718" s="102">
        <v>1594020</v>
      </c>
      <c r="N1718" s="102">
        <v>1563000</v>
      </c>
      <c r="O1718" s="102">
        <v>1577996.28</v>
      </c>
      <c r="P1718" s="102">
        <v>1598404.32</v>
      </c>
      <c r="Q1718" s="102">
        <v>1617462</v>
      </c>
      <c r="R1718" s="102">
        <v>1652146.8</v>
      </c>
      <c r="S1718" s="102">
        <v>1637995.36</v>
      </c>
      <c r="T1718" s="102">
        <v>1663840</v>
      </c>
      <c r="U1718" s="102">
        <v>1587100</v>
      </c>
      <c r="V1718" s="102">
        <v>1594490</v>
      </c>
      <c r="W1718" s="102">
        <v>1525290</v>
      </c>
      <c r="X1718" s="102">
        <v>1524690</v>
      </c>
      <c r="Y1718" s="102">
        <v>1526180</v>
      </c>
      <c r="Z1718" s="102">
        <f ca="1">Calc!BO102</f>
        <v>1526180</v>
      </c>
      <c r="AB1718" s="102">
        <f ca="1">Tab1SDataShiftSummary[[#This Row],[Summary0]]-Tab1SDataShiftSummary[[#This Row],[Summary20]]</f>
        <v>29080</v>
      </c>
      <c r="AC1718" s="102">
        <f>Tab1SDataShiftSummary[[#This Row],[Summary1]]-Tab1SDataShiftSummary[[#This Row],[Summary0]]</f>
        <v>364.5</v>
      </c>
      <c r="AD1718" s="102">
        <f>Tab1SDataShiftSummary[[#This Row],[Summary2]]-Tab1SDataShiftSummary[[#This Row],[Summary1]]</f>
        <v>7945.5</v>
      </c>
      <c r="AE1718" s="102">
        <f>Tab1SDataShiftSummary[[#This Row],[Summary3]]-Tab1SDataShiftSummary[[#This Row],[Summary2]]</f>
        <v>18240</v>
      </c>
      <c r="AF1718" s="102">
        <f>Tab1SDataShiftSummary[[#This Row],[Summary4]]-Tab1SDataShiftSummary[[#This Row],[Summary3]]</f>
        <v>0</v>
      </c>
      <c r="AG1718" s="102">
        <f>Tab1SDataShiftSummary[[#This Row],[Summary5]]-Tab1SDataShiftSummary[[#This Row],[Summary4]]</f>
        <v>-24990</v>
      </c>
      <c r="AH1718" s="102">
        <f>Tab1SDataShiftSummary[[#This Row],[Summary6]]-Tab1SDataShiftSummary[[#This Row],[Summary5]]</f>
        <v>41640</v>
      </c>
      <c r="AI1718" s="102">
        <f>Tab1SDataShiftSummary[[#This Row],[Summary7]]-Tab1SDataShiftSummary[[#This Row],[Summary6]]</f>
        <v>-4440</v>
      </c>
      <c r="AJ1718" s="102">
        <f>Tab1SDataShiftSummary[[#This Row],[Summary8]]-Tab1SDataShiftSummary[[#This Row],[Summary7]]</f>
        <v>-31020</v>
      </c>
      <c r="AK1718" s="102">
        <f>Tab1SDataShiftSummary[[#This Row],[Summary9]]-Tab1SDataShiftSummary[[#This Row],[Summary8]]</f>
        <v>14996.280000000028</v>
      </c>
      <c r="AL1718" s="102">
        <f>Tab1SDataShiftSummary[[#This Row],[Summary10]]-Tab1SDataShiftSummary[[#This Row],[Summary9]]</f>
        <v>20408.040000000037</v>
      </c>
      <c r="AM1718" s="102">
        <f>Tab1SDataShiftSummary[[#This Row],[Summary11]]-Tab1SDataShiftSummary[[#This Row],[Summary10]]</f>
        <v>19057.679999999935</v>
      </c>
      <c r="AN1718" s="102">
        <f>Tab1SDataShiftSummary[[#This Row],[Summary12]]-Tab1SDataShiftSummary[[#This Row],[Summary11]]</f>
        <v>34684.800000000047</v>
      </c>
      <c r="AO1718" s="102">
        <f>Tab1SDataShiftSummary[[#This Row],[Summary13]]-Tab1SDataShiftSummary[[#This Row],[Summary12]]</f>
        <v>-14151.439999999944</v>
      </c>
      <c r="AP1718" s="102">
        <f>Tab1SDataShiftSummary[[#This Row],[Summary14]]-Tab1SDataShiftSummary[[#This Row],[Summary13]]</f>
        <v>25844.639999999898</v>
      </c>
      <c r="AQ1718" s="102">
        <f>Tab1SDataShiftSummary[[#This Row],[Summary15]]-Tab1SDataShiftSummary[[#This Row],[Summary14]]</f>
        <v>-76740</v>
      </c>
      <c r="AR1718" s="102">
        <f>Tab1SDataShiftSummary[[#This Row],[Summary16]]-Tab1SDataShiftSummary[[#This Row],[Summary15]]</f>
        <v>7390</v>
      </c>
      <c r="AS1718" s="102">
        <f>Tab1SDataShiftSummary[[#This Row],[Summary17]]-Tab1SDataShiftSummary[[#This Row],[Summary16]]</f>
        <v>-69200</v>
      </c>
      <c r="AT1718" s="102">
        <f>Tab1SDataShiftSummary[[#This Row],[Summary18]]-Tab1SDataShiftSummary[[#This Row],[Summary17]]</f>
        <v>-600</v>
      </c>
      <c r="AU1718" s="102">
        <f>Tab1SDataShiftSummary[[#This Row],[Summary19]]-Tab1SDataShiftSummary[[#This Row],[Summary18]]</f>
        <v>1490</v>
      </c>
      <c r="AV1718" s="102">
        <f ca="1">Tab1SDataShiftSummary[[#This Row],[Summary20]]-Tab1SDataShiftSummary[[#This Row],[Summary19]]</f>
        <v>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3.2043207415694184</v>
      </c>
      <c r="G1720" s="331">
        <v>3.1782896707001118</v>
      </c>
      <c r="H1720" s="331">
        <v>3.1795504793411036</v>
      </c>
      <c r="I1720" s="331">
        <v>3.2500068608382771</v>
      </c>
      <c r="J1720" s="331">
        <v>3.2500068608382771</v>
      </c>
      <c r="K1720" s="331">
        <v>3.2123836261297476</v>
      </c>
      <c r="L1720" s="331">
        <v>3.2433440953980588</v>
      </c>
      <c r="M1720" s="331">
        <v>3.243279784587346</v>
      </c>
      <c r="N1720" s="331">
        <v>3.2580494792162038</v>
      </c>
      <c r="O1720" s="331">
        <v>3.3530176080518235</v>
      </c>
      <c r="P1720" s="331">
        <v>3.3379050646886972</v>
      </c>
      <c r="Q1720" s="331">
        <v>3.2497334407699028</v>
      </c>
      <c r="R1720" s="331">
        <v>3.3305604269614939</v>
      </c>
      <c r="S1720" s="331">
        <v>3.3471280278740316</v>
      </c>
      <c r="T1720" s="331">
        <v>3.4069804559378549</v>
      </c>
      <c r="U1720" s="331">
        <v>3.3658538040718291</v>
      </c>
      <c r="V1720" s="331">
        <v>3.413269577976215</v>
      </c>
      <c r="W1720" s="331">
        <v>3.3505819196053555</v>
      </c>
      <c r="X1720" s="331">
        <v>3.5602758201474094</v>
      </c>
      <c r="Y1720" s="331">
        <v>3.4465325552680515</v>
      </c>
      <c r="Z1720" s="331">
        <f ca="1">-Z1711/Z1706</f>
        <v>3.4465325552680515</v>
      </c>
      <c r="AB1720" s="102">
        <f ca="1">Tab1SDataShiftSummary[[#This Row],[Summary0]]-Tab1SDataShiftSummary[[#This Row],[Summary20]]</f>
        <v>-0.24221181369863309</v>
      </c>
      <c r="AC1720" s="102">
        <f>Tab1SDataShiftSummary[[#This Row],[Summary1]]-Tab1SDataShiftSummary[[#This Row],[Summary0]]</f>
        <v>-2.6031070869306561E-2</v>
      </c>
      <c r="AD1720" s="102">
        <f>Tab1SDataShiftSummary[[#This Row],[Summary2]]-Tab1SDataShiftSummary[[#This Row],[Summary1]]</f>
        <v>1.2608086409917618E-3</v>
      </c>
      <c r="AE1720" s="102">
        <f>Tab1SDataShiftSummary[[#This Row],[Summary3]]-Tab1SDataShiftSummary[[#This Row],[Summary2]]</f>
        <v>7.0456381497173481E-2</v>
      </c>
      <c r="AF1720" s="102">
        <f>Tab1SDataShiftSummary[[#This Row],[Summary4]]-Tab1SDataShiftSummary[[#This Row],[Summary3]]</f>
        <v>0</v>
      </c>
      <c r="AG1720" s="102">
        <f>Tab1SDataShiftSummary[[#This Row],[Summary5]]-Tab1SDataShiftSummary[[#This Row],[Summary4]]</f>
        <v>-3.7623234708529463E-2</v>
      </c>
      <c r="AH1720" s="102">
        <f>Tab1SDataShiftSummary[[#This Row],[Summary6]]-Tab1SDataShiftSummary[[#This Row],[Summary5]]</f>
        <v>3.0960469268311197E-2</v>
      </c>
      <c r="AI1720" s="102">
        <f>Tab1SDataShiftSummary[[#This Row],[Summary7]]-Tab1SDataShiftSummary[[#This Row],[Summary6]]</f>
        <v>-6.4310810712786548E-5</v>
      </c>
      <c r="AJ1720" s="102">
        <f>Tab1SDataShiftSummary[[#This Row],[Summary8]]-Tab1SDataShiftSummary[[#This Row],[Summary7]]</f>
        <v>1.4769694628857799E-2</v>
      </c>
      <c r="AK1720" s="102">
        <f>Tab1SDataShiftSummary[[#This Row],[Summary9]]-Tab1SDataShiftSummary[[#This Row],[Summary8]]</f>
        <v>9.496812883561967E-2</v>
      </c>
      <c r="AL1720" s="102">
        <f>Tab1SDataShiftSummary[[#This Row],[Summary10]]-Tab1SDataShiftSummary[[#This Row],[Summary9]]</f>
        <v>-1.5112543363126285E-2</v>
      </c>
      <c r="AM1720" s="102">
        <f>Tab1SDataShiftSummary[[#This Row],[Summary11]]-Tab1SDataShiftSummary[[#This Row],[Summary10]]</f>
        <v>-8.8171623918794406E-2</v>
      </c>
      <c r="AN1720" s="102">
        <f>Tab1SDataShiftSummary[[#This Row],[Summary12]]-Tab1SDataShiftSummary[[#This Row],[Summary11]]</f>
        <v>8.0826986191591121E-2</v>
      </c>
      <c r="AO1720" s="102">
        <f>Tab1SDataShiftSummary[[#This Row],[Summary13]]-Tab1SDataShiftSummary[[#This Row],[Summary12]]</f>
        <v>1.6567600912537728E-2</v>
      </c>
      <c r="AP1720" s="102">
        <f>Tab1SDataShiftSummary[[#This Row],[Summary14]]-Tab1SDataShiftSummary[[#This Row],[Summary13]]</f>
        <v>5.9852428063823293E-2</v>
      </c>
      <c r="AQ1720" s="102">
        <f>Tab1SDataShiftSummary[[#This Row],[Summary15]]-Tab1SDataShiftSummary[[#This Row],[Summary14]]</f>
        <v>-4.1126651866025821E-2</v>
      </c>
      <c r="AR1720" s="102">
        <f>Tab1SDataShiftSummary[[#This Row],[Summary16]]-Tab1SDataShiftSummary[[#This Row],[Summary15]]</f>
        <v>4.7415773904385894E-2</v>
      </c>
      <c r="AS1720" s="102">
        <f>Tab1SDataShiftSummary[[#This Row],[Summary17]]-Tab1SDataShiftSummary[[#This Row],[Summary16]]</f>
        <v>-6.2687658370859545E-2</v>
      </c>
      <c r="AT1720" s="102">
        <f>Tab1SDataShiftSummary[[#This Row],[Summary18]]-Tab1SDataShiftSummary[[#This Row],[Summary17]]</f>
        <v>0.20969390054205395</v>
      </c>
      <c r="AU1720" s="102">
        <f>Tab1SDataShiftSummary[[#This Row],[Summary19]]-Tab1SDataShiftSummary[[#This Row],[Summary18]]</f>
        <v>-0.11374326487935793</v>
      </c>
      <c r="AV1720" s="102">
        <f ca="1">Tab1SDataShiftSummary[[#This Row],[Summary20]]-Tab1SDataShiftSummary[[#This Row],[Summary19]]</f>
        <v>0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1.8189965873604867</v>
      </c>
      <c r="G1721" s="331">
        <v>1.7881452690464499</v>
      </c>
      <c r="H1721" s="331">
        <v>1.7900501203443453</v>
      </c>
      <c r="I1721" s="331">
        <v>1.8439879932939585</v>
      </c>
      <c r="J1721" s="331">
        <v>1.8439879932939585</v>
      </c>
      <c r="K1721" s="331">
        <v>1.821354076554262</v>
      </c>
      <c r="L1721" s="331">
        <v>1.8640223995059066</v>
      </c>
      <c r="M1721" s="331">
        <v>1.8626318995260558</v>
      </c>
      <c r="N1721" s="331">
        <v>1.9055916910659072</v>
      </c>
      <c r="O1721" s="331">
        <v>2.0674665698126207</v>
      </c>
      <c r="P1721" s="331">
        <v>2.0583656733782152</v>
      </c>
      <c r="Q1721" s="331">
        <v>1.9751262363370476</v>
      </c>
      <c r="R1721" s="331">
        <v>2.0193183507094781</v>
      </c>
      <c r="S1721" s="331">
        <v>2.0293632849731202</v>
      </c>
      <c r="T1721" s="331">
        <v>2.0934798689570067</v>
      </c>
      <c r="U1721" s="331">
        <v>2.0843386325524267</v>
      </c>
      <c r="V1721" s="331">
        <v>2.1050121337346739</v>
      </c>
      <c r="W1721" s="331">
        <v>1.9824705936506337</v>
      </c>
      <c r="X1721" s="331">
        <v>2.0578116075047408</v>
      </c>
      <c r="Y1721" s="331">
        <v>2.083524092352794</v>
      </c>
      <c r="Z1721" s="331">
        <f ca="1">ABS((Z1704+Z1709)/Z1709)</f>
        <v>2.083524092352794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-7908970.6534637166</v>
      </c>
      <c r="D1724" s="972" t="s">
        <v>2367</v>
      </c>
      <c r="E1724" s="102"/>
      <c r="F1724" s="952">
        <v>9946677.1599999983</v>
      </c>
      <c r="G1724" s="952">
        <v>9916716.7449999992</v>
      </c>
      <c r="H1724" s="952">
        <v>9965030.7715999987</v>
      </c>
      <c r="I1724" s="952">
        <v>9955295.4649999999</v>
      </c>
      <c r="J1724" s="952">
        <v>9955295.4649999999</v>
      </c>
      <c r="K1724" s="790">
        <v>9854925.9600000009</v>
      </c>
      <c r="L1724" s="790">
        <v>9145650.1699999999</v>
      </c>
      <c r="M1724" s="790">
        <v>9085459.9700000007</v>
      </c>
      <c r="N1724" s="790">
        <v>9297389.8699999992</v>
      </c>
      <c r="O1724" s="790">
        <v>9233008.344399998</v>
      </c>
      <c r="P1724" s="790">
        <v>9092645.5999999996</v>
      </c>
      <c r="Q1724" s="790">
        <v>9229236.4216999989</v>
      </c>
      <c r="R1724" s="790">
        <v>9399388.2400000002</v>
      </c>
      <c r="S1724" s="790">
        <v>9284473.6199999992</v>
      </c>
      <c r="T1724" s="790">
        <v>9419077.1999999993</v>
      </c>
      <c r="U1724" s="790">
        <v>9352620.0449999999</v>
      </c>
      <c r="V1724" s="790">
        <v>9413167.8699999992</v>
      </c>
      <c r="W1724" s="790">
        <v>9414175.5600000005</v>
      </c>
      <c r="X1724" s="790">
        <v>9562849.5549999997</v>
      </c>
      <c r="Y1724" s="790">
        <v>9378324.4450000003</v>
      </c>
      <c r="Z1724" s="790">
        <f ca="1">Calc!AY103</f>
        <v>9378324.4450000003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-16539909.156973999</v>
      </c>
      <c r="G1725" s="952">
        <v>-16774017.836973999</v>
      </c>
      <c r="H1725" s="952">
        <v>-16793147.109973997</v>
      </c>
      <c r="I1725" s="952">
        <v>-16793147.109973997</v>
      </c>
      <c r="J1725" s="952">
        <v>-16793147.109973997</v>
      </c>
      <c r="K1725" s="790">
        <v>-16774017.836973999</v>
      </c>
      <c r="L1725" s="790">
        <v>-16719032.809973998</v>
      </c>
      <c r="M1725" s="790">
        <v>-16699903.536973998</v>
      </c>
      <c r="N1725" s="790">
        <v>-16713403.536973998</v>
      </c>
      <c r="O1725" s="790">
        <v>-16713403.536973998</v>
      </c>
      <c r="P1725" s="790">
        <v>-16732532.809973998</v>
      </c>
      <c r="Q1725" s="790">
        <v>-17053405.126973998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-16310579.72471966</v>
      </c>
      <c r="V1725" s="790">
        <v>-16310579.72471966</v>
      </c>
      <c r="W1725" s="790">
        <v>-16516373.649366161</v>
      </c>
      <c r="X1725" s="790">
        <v>-17212783.345636159</v>
      </c>
      <c r="Y1725" s="790">
        <v>-16431408.463241158</v>
      </c>
      <c r="Z1725" s="790">
        <f ca="1">Calc!BA103</f>
        <v>-16431408.463241158</v>
      </c>
      <c r="AB1725" s="102">
        <f ca="1">Tab1SDataShiftSummary[[#This Row],[Summary0]]-Tab1SDataShiftSummary[[#This Row],[Summary20]]</f>
        <v>-108500.69373284094</v>
      </c>
      <c r="AC1725" s="102">
        <f>Tab1SDataShiftSummary[[#This Row],[Summary1]]-Tab1SDataShiftSummary[[#This Row],[Summary0]]</f>
        <v>-234108.6799999997</v>
      </c>
      <c r="AD1725" s="102">
        <f>Tab1SDataShiftSummary[[#This Row],[Summary2]]-Tab1SDataShiftSummary[[#This Row],[Summary1]]</f>
        <v>-19129.272999998182</v>
      </c>
      <c r="AE1725" s="102">
        <f>Tab1SDataShiftSummary[[#This Row],[Summary3]]-Tab1SDataShiftSummary[[#This Row],[Summary2]]</f>
        <v>0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19129.272999998182</v>
      </c>
      <c r="AH1725" s="102">
        <f>Tab1SDataShiftSummary[[#This Row],[Summary6]]-Tab1SDataShiftSummary[[#This Row],[Summary5]]</f>
        <v>54985.0270000007</v>
      </c>
      <c r="AI1725" s="102">
        <f>Tab1SDataShiftSummary[[#This Row],[Summary7]]-Tab1SDataShiftSummary[[#This Row],[Summary6]]</f>
        <v>19129.273000000045</v>
      </c>
      <c r="AJ1725" s="102">
        <f>Tab1SDataShiftSummary[[#This Row],[Summary8]]-Tab1SDataShiftSummary[[#This Row],[Summary7]]</f>
        <v>-13500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-19129.273000000045</v>
      </c>
      <c r="AM1725" s="102">
        <f>Tab1SDataShiftSummary[[#This Row],[Summary11]]-Tab1SDataShiftSummary[[#This Row],[Summary10]]</f>
        <v>-320872.31699999981</v>
      </c>
      <c r="AN1725" s="102">
        <f>Tab1SDataShiftSummary[[#This Row],[Summary12]]-Tab1SDataShiftSummary[[#This Row],[Summary11]]</f>
        <v>0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742825.40225433744</v>
      </c>
      <c r="AR1725" s="102">
        <f>Tab1SDataShiftSummary[[#This Row],[Summary16]]-Tab1SDataShiftSummary[[#This Row],[Summary15]]</f>
        <v>0</v>
      </c>
      <c r="AS1725" s="102">
        <f>Tab1SDataShiftSummary[[#This Row],[Summary17]]-Tab1SDataShiftSummary[[#This Row],[Summary16]]</f>
        <v>-205793.9246465005</v>
      </c>
      <c r="AT1725" s="102">
        <f>Tab1SDataShiftSummary[[#This Row],[Summary18]]-Tab1SDataShiftSummary[[#This Row],[Summary17]]</f>
        <v>-696409.69626999833</v>
      </c>
      <c r="AU1725" s="102">
        <f>Tab1SDataShiftSummary[[#This Row],[Summary19]]-Tab1SDataShiftSummary[[#This Row],[Summary18]]</f>
        <v>781374.88239500113</v>
      </c>
      <c r="AV1725" s="102">
        <f ca="1">Tab1SDataShiftSummary[[#This Row],[Summary20]]-Tab1SDataShiftSummary[[#This Row],[Summary19]]</f>
        <v>0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-7226191.2420740025</v>
      </c>
      <c r="G1726" s="790">
        <v>-7226191.2420740025</v>
      </c>
      <c r="H1726" s="790">
        <v>-7231200.5350740021</v>
      </c>
      <c r="I1726" s="790">
        <v>-7231200.5350740021</v>
      </c>
      <c r="J1726" s="790">
        <v>-7231200.5350740021</v>
      </c>
      <c r="K1726" s="790">
        <v>-7226191.2420740025</v>
      </c>
      <c r="L1726" s="790">
        <v>-6527316.1200740021</v>
      </c>
      <c r="M1726" s="790">
        <v>-6522306.8270740025</v>
      </c>
      <c r="N1726" s="790">
        <v>-6535806.8270740025</v>
      </c>
      <c r="O1726" s="790">
        <v>-6535806.8270740025</v>
      </c>
      <c r="P1726" s="790">
        <v>-6540816.1200740021</v>
      </c>
      <c r="Q1726" s="790">
        <v>-6905130.4520740015</v>
      </c>
      <c r="R1726" s="790">
        <v>-6905130.4520740015</v>
      </c>
      <c r="S1726" s="790">
        <v>-6905130.4520740015</v>
      </c>
      <c r="T1726" s="790">
        <v>-6905130.4520740015</v>
      </c>
      <c r="U1726" s="790">
        <v>-6682329.045777089</v>
      </c>
      <c r="V1726" s="790">
        <v>-6682329.045777089</v>
      </c>
      <c r="W1726" s="790">
        <v>-6682329.045777089</v>
      </c>
      <c r="X1726" s="790">
        <v>-6821388.8477770891</v>
      </c>
      <c r="Y1726" s="790">
        <v>-6646380.6307770889</v>
      </c>
      <c r="Z1726" s="790">
        <f ca="1">Calc!BB103</f>
        <v>-6646380.6307770889</v>
      </c>
      <c r="AB1726" s="102">
        <f ca="1">Tab1SDataShiftSummary[[#This Row],[Summary0]]-Tab1SDataShiftSummary[[#This Row],[Summary20]]</f>
        <v>-579810.61129691359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-5009.2929999995977</v>
      </c>
      <c r="AE1726" s="102">
        <f>Tab1SDataShiftSummary[[#This Row],[Summary3]]-Tab1SDataShiftSummary[[#This Row],[Summary2]]</f>
        <v>0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5009.2929999995977</v>
      </c>
      <c r="AH1726" s="102">
        <f>Tab1SDataShiftSummary[[#This Row],[Summary6]]-Tab1SDataShiftSummary[[#This Row],[Summary5]]</f>
        <v>698875.12200000044</v>
      </c>
      <c r="AI1726" s="102">
        <f>Tab1SDataShiftSummary[[#This Row],[Summary7]]-Tab1SDataShiftSummary[[#This Row],[Summary6]]</f>
        <v>5009.2929999995977</v>
      </c>
      <c r="AJ1726" s="102">
        <f>Tab1SDataShiftSummary[[#This Row],[Summary8]]-Tab1SDataShiftSummary[[#This Row],[Summary7]]</f>
        <v>-13500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-5009.2929999995977</v>
      </c>
      <c r="AM1726" s="102">
        <f>Tab1SDataShiftSummary[[#This Row],[Summary11]]-Tab1SDataShiftSummary[[#This Row],[Summary10]]</f>
        <v>-364314.33199999947</v>
      </c>
      <c r="AN1726" s="102">
        <f>Tab1SDataShiftSummary[[#This Row],[Summary12]]-Tab1SDataShiftSummary[[#This Row],[Summary11]]</f>
        <v>0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222801.40629691258</v>
      </c>
      <c r="AR1726" s="102">
        <f>Tab1SDataShiftSummary[[#This Row],[Summary16]]-Tab1SDataShiftSummary[[#This Row],[Summary15]]</f>
        <v>0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-139059.80200000014</v>
      </c>
      <c r="AU1726" s="102">
        <f>Tab1SDataShiftSummary[[#This Row],[Summary19]]-Tab1SDataShiftSummary[[#This Row],[Summary18]]</f>
        <v>175008.21700000018</v>
      </c>
      <c r="AV1726" s="102">
        <f ca="1">Tab1SDataShiftSummary[[#This Row],[Summary20]]-Tab1SDataShiftSummary[[#This Row],[Summary19]]</f>
        <v>0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2209857.2112362818</v>
      </c>
      <c r="G1727" s="790">
        <v>2088756.7962362831</v>
      </c>
      <c r="H1727" s="790">
        <v>2127569.9728362826</v>
      </c>
      <c r="I1727" s="790">
        <v>2117834.6662362823</v>
      </c>
      <c r="J1727" s="790">
        <v>2117834.6662362823</v>
      </c>
      <c r="K1727" s="790">
        <v>2026966.0112362839</v>
      </c>
      <c r="L1727" s="790">
        <v>1335089.3712362836</v>
      </c>
      <c r="M1727" s="790">
        <v>1284400.0212362837</v>
      </c>
      <c r="N1727" s="790">
        <v>1496329.9212362836</v>
      </c>
      <c r="O1727" s="790">
        <v>1431948.3956362836</v>
      </c>
      <c r="P1727" s="790">
        <v>1282084.8012362837</v>
      </c>
      <c r="Q1727" s="790">
        <v>1391775.6229362835</v>
      </c>
      <c r="R1727" s="790">
        <v>1561927.4412362834</v>
      </c>
      <c r="S1727" s="790">
        <v>1447012.8212362828</v>
      </c>
      <c r="T1727" s="790">
        <v>1581616.4012362827</v>
      </c>
      <c r="U1727" s="790">
        <v>1515409.2462362831</v>
      </c>
      <c r="V1727" s="790">
        <v>1575957.0712362838</v>
      </c>
      <c r="W1727" s="790">
        <v>1478304.9065362837</v>
      </c>
      <c r="X1727" s="790">
        <v>1653628.9015362831</v>
      </c>
      <c r="Y1727" s="790">
        <v>1469353.7915362823</v>
      </c>
      <c r="Z1727" s="790">
        <f ca="1">Calc!BC103</f>
        <v>1469353.7915362823</v>
      </c>
      <c r="AB1727" s="102">
        <f ca="1">Tab1SDataShiftSummary[[#This Row],[Summary0]]-Tab1SDataShiftSummary[[#This Row],[Summary20]]</f>
        <v>740503.4196999995</v>
      </c>
      <c r="AC1727" s="102">
        <f>Tab1SDataShiftSummary[[#This Row],[Summary1]]-Tab1SDataShiftSummary[[#This Row],[Summary0]]</f>
        <v>-121100.41499999864</v>
      </c>
      <c r="AD1727" s="102">
        <f>Tab1SDataShiftSummary[[#This Row],[Summary2]]-Tab1SDataShiftSummary[[#This Row],[Summary1]]</f>
        <v>38813.176599999424</v>
      </c>
      <c r="AE1727" s="102">
        <f>Tab1SDataShiftSummary[[#This Row],[Summary3]]-Tab1SDataShiftSummary[[#This Row],[Summary2]]</f>
        <v>-9735.3066000002436</v>
      </c>
      <c r="AF1727" s="102">
        <f>Tab1SDataShiftSummary[[#This Row],[Summary4]]-Tab1SDataShiftSummary[[#This Row],[Summary3]]</f>
        <v>0</v>
      </c>
      <c r="AG1727" s="102">
        <f>Tab1SDataShiftSummary[[#This Row],[Summary5]]-Tab1SDataShiftSummary[[#This Row],[Summary4]]</f>
        <v>-90868.654999998398</v>
      </c>
      <c r="AH1727" s="102">
        <f>Tab1SDataShiftSummary[[#This Row],[Summary6]]-Tab1SDataShiftSummary[[#This Row],[Summary5]]</f>
        <v>-691876.64000000036</v>
      </c>
      <c r="AI1727" s="102">
        <f>Tab1SDataShiftSummary[[#This Row],[Summary7]]-Tab1SDataShiftSummary[[#This Row],[Summary6]]</f>
        <v>-50689.34999999986</v>
      </c>
      <c r="AJ1727" s="102">
        <f>Tab1SDataShiftSummary[[#This Row],[Summary8]]-Tab1SDataShiftSummary[[#This Row],[Summary7]]</f>
        <v>211929.89999999991</v>
      </c>
      <c r="AK1727" s="102">
        <f>Tab1SDataShiftSummary[[#This Row],[Summary9]]-Tab1SDataShiftSummary[[#This Row],[Summary8]]</f>
        <v>-64381.525600000052</v>
      </c>
      <c r="AL1727" s="102">
        <f>Tab1SDataShiftSummary[[#This Row],[Summary10]]-Tab1SDataShiftSummary[[#This Row],[Summary9]]</f>
        <v>-149863.59439999983</v>
      </c>
      <c r="AM1727" s="102">
        <f>Tab1SDataShiftSummary[[#This Row],[Summary11]]-Tab1SDataShiftSummary[[#This Row],[Summary10]]</f>
        <v>109690.82169999974</v>
      </c>
      <c r="AN1727" s="102">
        <f>Tab1SDataShiftSummary[[#This Row],[Summary12]]-Tab1SDataShiftSummary[[#This Row],[Summary11]]</f>
        <v>170151.81829999993</v>
      </c>
      <c r="AO1727" s="102">
        <f>Tab1SDataShiftSummary[[#This Row],[Summary13]]-Tab1SDataShiftSummary[[#This Row],[Summary12]]</f>
        <v>-114914.62000000058</v>
      </c>
      <c r="AP1727" s="102">
        <f>Tab1SDataShiftSummary[[#This Row],[Summary14]]-Tab1SDataShiftSummary[[#This Row],[Summary13]]</f>
        <v>134603.57999999984</v>
      </c>
      <c r="AQ1727" s="102">
        <f>Tab1SDataShiftSummary[[#This Row],[Summary15]]-Tab1SDataShiftSummary[[#This Row],[Summary14]]</f>
        <v>-66207.154999999562</v>
      </c>
      <c r="AR1727" s="102">
        <f>Tab1SDataShiftSummary[[#This Row],[Summary16]]-Tab1SDataShiftSummary[[#This Row],[Summary15]]</f>
        <v>60547.825000000652</v>
      </c>
      <c r="AS1727" s="102">
        <f>Tab1SDataShiftSummary[[#This Row],[Summary17]]-Tab1SDataShiftSummary[[#This Row],[Summary16]]</f>
        <v>-97652.164700000081</v>
      </c>
      <c r="AT1727" s="102">
        <f>Tab1SDataShiftSummary[[#This Row],[Summary18]]-Tab1SDataShiftSummary[[#This Row],[Summary17]]</f>
        <v>175323.99499999941</v>
      </c>
      <c r="AU1727" s="102">
        <f>Tab1SDataShiftSummary[[#This Row],[Summary19]]-Tab1SDataShiftSummary[[#This Row],[Summary18]]</f>
        <v>-184275.1100000008</v>
      </c>
      <c r="AV1727" s="102">
        <f ca="1">Tab1SDataShiftSummary[[#This Row],[Summary20]]-Tab1SDataShiftSummary[[#This Row],[Summary19]]</f>
        <v>0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-24276729.105737712</v>
      </c>
      <c r="G1728" s="790">
        <v>-24601977.785737719</v>
      </c>
      <c r="H1728" s="790">
        <v>-24630607.908737715</v>
      </c>
      <c r="I1728" s="790">
        <v>-24630607.908737715</v>
      </c>
      <c r="J1728" s="790">
        <v>-24630607.908737715</v>
      </c>
      <c r="K1728" s="790">
        <v>-24601977.785737719</v>
      </c>
      <c r="L1728" s="790">
        <v>-24529593.608737718</v>
      </c>
      <c r="M1728" s="790">
        <v>-24500963.485737715</v>
      </c>
      <c r="N1728" s="790">
        <v>-24514463.485737715</v>
      </c>
      <c r="O1728" s="790">
        <v>-24514463.485737715</v>
      </c>
      <c r="P1728" s="790">
        <v>-24543093.608737718</v>
      </c>
      <c r="Q1728" s="790">
        <v>-24890865.925737713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-24147790.523483377</v>
      </c>
      <c r="V1728" s="790">
        <v>-24147790.523483377</v>
      </c>
      <c r="W1728" s="790">
        <v>-24452244.302829877</v>
      </c>
      <c r="X1728" s="790">
        <v>-25122003.999099873</v>
      </c>
      <c r="Y1728" s="790">
        <v>-24340379.116704877</v>
      </c>
      <c r="Z1728" s="790">
        <f ca="1">Calc!BD103</f>
        <v>-24340379.116704877</v>
      </c>
      <c r="AB1728" s="102">
        <f ca="1">Tab1SDataShiftSummary[[#This Row],[Summary0]]-Tab1SDataShiftSummary[[#This Row],[Summary20]]</f>
        <v>63650.010967165232</v>
      </c>
      <c r="AC1728" s="102">
        <f>Tab1SDataShiftSummary[[#This Row],[Summary1]]-Tab1SDataShiftSummary[[#This Row],[Summary0]]</f>
        <v>-325248.68000000715</v>
      </c>
      <c r="AD1728" s="102">
        <f>Tab1SDataShiftSummary[[#This Row],[Summary2]]-Tab1SDataShiftSummary[[#This Row],[Summary1]]</f>
        <v>-28630.122999995947</v>
      </c>
      <c r="AE1728" s="102">
        <f>Tab1SDataShiftSummary[[#This Row],[Summary3]]-Tab1SDataShiftSummary[[#This Row],[Summary2]]</f>
        <v>0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28630.122999995947</v>
      </c>
      <c r="AH1728" s="102">
        <f>Tab1SDataShiftSummary[[#This Row],[Summary6]]-Tab1SDataShiftSummary[[#This Row],[Summary5]]</f>
        <v>72384.177000001073</v>
      </c>
      <c r="AI1728" s="102">
        <f>Tab1SDataShiftSummary[[#This Row],[Summary7]]-Tab1SDataShiftSummary[[#This Row],[Summary6]]</f>
        <v>28630.123000003397</v>
      </c>
      <c r="AJ1728" s="102">
        <f>Tab1SDataShiftSummary[[#This Row],[Summary8]]-Tab1SDataShiftSummary[[#This Row],[Summary7]]</f>
        <v>-13500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-28630.123000003397</v>
      </c>
      <c r="AM1728" s="102">
        <f>Tab1SDataShiftSummary[[#This Row],[Summary11]]-Tab1SDataShiftSummary[[#This Row],[Summary10]]</f>
        <v>-347772.31699999422</v>
      </c>
      <c r="AN1728" s="102">
        <f>Tab1SDataShiftSummary[[#This Row],[Summary12]]-Tab1SDataShiftSummary[[#This Row],[Summary11]]</f>
        <v>0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743075.40225433558</v>
      </c>
      <c r="AR1728" s="102">
        <f>Tab1SDataShiftSummary[[#This Row],[Summary16]]-Tab1SDataShiftSummary[[#This Row],[Summary15]]</f>
        <v>0</v>
      </c>
      <c r="AS1728" s="102">
        <f>Tab1SDataShiftSummary[[#This Row],[Summary17]]-Tab1SDataShiftSummary[[#This Row],[Summary16]]</f>
        <v>-304453.77934649959</v>
      </c>
      <c r="AT1728" s="102">
        <f>Tab1SDataShiftSummary[[#This Row],[Summary18]]-Tab1SDataShiftSummary[[#This Row],[Summary17]]</f>
        <v>-669759.69626999646</v>
      </c>
      <c r="AU1728" s="102">
        <f>Tab1SDataShiftSummary[[#This Row],[Summary19]]-Tab1SDataShiftSummary[[#This Row],[Summary18]]</f>
        <v>781624.88239499554</v>
      </c>
      <c r="AV1728" s="102">
        <f ca="1">Tab1SDataShiftSummary[[#This Row],[Summary20]]-Tab1SDataShiftSummary[[#This Row],[Summary19]]</f>
        <v>0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-14634025.223737717</v>
      </c>
      <c r="G1729" s="790">
        <v>-14643957.843737716</v>
      </c>
      <c r="H1729" s="790">
        <v>-14658467.986737715</v>
      </c>
      <c r="I1729" s="790">
        <v>-14658467.986737715</v>
      </c>
      <c r="J1729" s="790">
        <v>-14658467.986737715</v>
      </c>
      <c r="K1729" s="790">
        <v>-14643957.843737716</v>
      </c>
      <c r="L1729" s="790">
        <v>-13912333.571737714</v>
      </c>
      <c r="M1729" s="790">
        <v>-13897823.428737715</v>
      </c>
      <c r="N1729" s="790">
        <v>-13911323.428737715</v>
      </c>
      <c r="O1729" s="790">
        <v>-13911323.428737715</v>
      </c>
      <c r="P1729" s="790">
        <v>-13925833.571737714</v>
      </c>
      <c r="Q1729" s="790">
        <v>-14317047.903737715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-14109378.279737715</v>
      </c>
      <c r="V1729" s="790">
        <v>-14109378.279737715</v>
      </c>
      <c r="W1729" s="790">
        <v>-14092926.515337715</v>
      </c>
      <c r="X1729" s="790">
        <v>-14205269.692337714</v>
      </c>
      <c r="Y1729" s="790">
        <v>-14030010.850337714</v>
      </c>
      <c r="Z1729" s="790">
        <f ca="1">Calc!BE103</f>
        <v>-14030010.850337714</v>
      </c>
      <c r="AB1729" s="102">
        <f ca="1">Tab1SDataShiftSummary[[#This Row],[Summary0]]-Tab1SDataShiftSummary[[#This Row],[Summary20]]</f>
        <v>-604014.37340000272</v>
      </c>
      <c r="AC1729" s="102">
        <f>Tab1SDataShiftSummary[[#This Row],[Summary1]]-Tab1SDataShiftSummary[[#This Row],[Summary0]]</f>
        <v>-9932.6199999991804</v>
      </c>
      <c r="AD1729" s="102">
        <f>Tab1SDataShiftSummary[[#This Row],[Summary2]]-Tab1SDataShiftSummary[[#This Row],[Summary1]]</f>
        <v>-14510.142999999225</v>
      </c>
      <c r="AE1729" s="102">
        <f>Tab1SDataShiftSummary[[#This Row],[Summary3]]-Tab1SDataShiftSummary[[#This Row],[Summary2]]</f>
        <v>0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14510.142999999225</v>
      </c>
      <c r="AH1729" s="102">
        <f>Tab1SDataShiftSummary[[#This Row],[Summary6]]-Tab1SDataShiftSummary[[#This Row],[Summary5]]</f>
        <v>731624.27200000174</v>
      </c>
      <c r="AI1729" s="102">
        <f>Tab1SDataShiftSummary[[#This Row],[Summary7]]-Tab1SDataShiftSummary[[#This Row],[Summary6]]</f>
        <v>14510.142999999225</v>
      </c>
      <c r="AJ1729" s="102">
        <f>Tab1SDataShiftSummary[[#This Row],[Summary8]]-Tab1SDataShiftSummary[[#This Row],[Summary7]]</f>
        <v>-13500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-14510.142999999225</v>
      </c>
      <c r="AM1729" s="102">
        <f>Tab1SDataShiftSummary[[#This Row],[Summary11]]-Tab1SDataShiftSummary[[#This Row],[Summary10]]</f>
        <v>-391214.3320000004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207669.62399999984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16451.764399999753</v>
      </c>
      <c r="AT1729" s="102">
        <f>Tab1SDataShiftSummary[[#This Row],[Summary18]]-Tab1SDataShiftSummary[[#This Row],[Summary17]]</f>
        <v>-112343.17699999921</v>
      </c>
      <c r="AU1729" s="102">
        <f>Tab1SDataShiftSummary[[#This Row],[Summary19]]-Tab1SDataShiftSummary[[#This Row],[Summary18]]</f>
        <v>175258.84200000018</v>
      </c>
      <c r="AV1729" s="102">
        <f ca="1">Tab1SDataShiftSummary[[#This Row],[Summary20]]-Tab1SDataShiftSummary[[#This Row],[Summary19]]</f>
        <v>0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9958019.9419999998</v>
      </c>
      <c r="H1730" s="790">
        <v>9972139.9220000003</v>
      </c>
      <c r="I1730" s="790">
        <v>9972139.9220000003</v>
      </c>
      <c r="J1730" s="790">
        <v>9972139.9220000003</v>
      </c>
      <c r="K1730" s="790">
        <v>9958019.9419999998</v>
      </c>
      <c r="L1730" s="790">
        <v>10617260.037</v>
      </c>
      <c r="M1730" s="790">
        <v>10603140.057</v>
      </c>
      <c r="N1730" s="790">
        <v>10603140.057</v>
      </c>
      <c r="O1730" s="790">
        <v>10603140.057</v>
      </c>
      <c r="P1730" s="790">
        <v>10617260.037</v>
      </c>
      <c r="Q1730" s="790">
        <v>10573818.022</v>
      </c>
      <c r="R1730" s="790">
        <v>10573818.022</v>
      </c>
      <c r="S1730" s="790">
        <v>10573818.022</v>
      </c>
      <c r="T1730" s="790">
        <v>10573818.022</v>
      </c>
      <c r="U1730" s="790">
        <v>10073685.689445</v>
      </c>
      <c r="V1730" s="790">
        <v>10073685.689445</v>
      </c>
      <c r="W1730" s="790">
        <v>10394550.103780499</v>
      </c>
      <c r="X1730" s="790">
        <v>10952247.480992999</v>
      </c>
      <c r="Y1730" s="790">
        <v>10345443.293493001</v>
      </c>
      <c r="Z1730" s="790">
        <f ca="1">Calc!BF103</f>
        <v>10345443.293493001</v>
      </c>
      <c r="AB1730" s="102">
        <f ca="1">Tab1SDataShiftSummary[[#This Row],[Summary0]]-Tab1SDataShiftSummary[[#This Row],[Summary20]]</f>
        <v>-702739.41149300151</v>
      </c>
      <c r="AC1730" s="102">
        <f>Tab1SDataShiftSummary[[#This Row],[Summary1]]-Tab1SDataShiftSummary[[#This Row],[Summary0]]</f>
        <v>315316.06000000052</v>
      </c>
      <c r="AD1730" s="102">
        <f>Tab1SDataShiftSummary[[#This Row],[Summary2]]-Tab1SDataShiftSummary[[#This Row],[Summary1]]</f>
        <v>14119.980000000447</v>
      </c>
      <c r="AE1730" s="102">
        <f>Tab1SDataShiftSummary[[#This Row],[Summary3]]-Tab1SDataShiftSummary[[#This Row],[Summary2]]</f>
        <v>0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-14119.980000000447</v>
      </c>
      <c r="AH1730" s="102">
        <f>Tab1SDataShiftSummary[[#This Row],[Summary6]]-Tab1SDataShiftSummary[[#This Row],[Summary5]]</f>
        <v>659240.09500000067</v>
      </c>
      <c r="AI1730" s="102">
        <f>Tab1SDataShiftSummary[[#This Row],[Summary7]]-Tab1SDataShiftSummary[[#This Row],[Summary6]]</f>
        <v>-14119.980000000447</v>
      </c>
      <c r="AJ1730" s="102">
        <f>Tab1SDataShiftSummary[[#This Row],[Summary8]]-Tab1SDataShiftSummary[[#This Row],[Summary7]]</f>
        <v>0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14119.980000000447</v>
      </c>
      <c r="AM1730" s="102">
        <f>Tab1SDataShiftSummary[[#This Row],[Summary11]]-Tab1SDataShiftSummary[[#This Row],[Summary10]]</f>
        <v>-43442.015000000596</v>
      </c>
      <c r="AN1730" s="102">
        <f>Tab1SDataShiftSummary[[#This Row],[Summary12]]-Tab1SDataShiftSummary[[#This Row],[Summary11]]</f>
        <v>0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-500132.33255499974</v>
      </c>
      <c r="AR1730" s="102">
        <f>Tab1SDataShiftSummary[[#This Row],[Summary16]]-Tab1SDataShiftSummary[[#This Row],[Summary15]]</f>
        <v>0</v>
      </c>
      <c r="AS1730" s="102">
        <f>Tab1SDataShiftSummary[[#This Row],[Summary17]]-Tab1SDataShiftSummary[[#This Row],[Summary16]]</f>
        <v>320864.41433549859</v>
      </c>
      <c r="AT1730" s="102">
        <f>Tab1SDataShiftSummary[[#This Row],[Summary18]]-Tab1SDataShiftSummary[[#This Row],[Summary17]]</f>
        <v>557697.3772125002</v>
      </c>
      <c r="AU1730" s="102">
        <f>Tab1SDataShiftSummary[[#This Row],[Summary19]]-Tab1SDataShiftSummary[[#This Row],[Summary18]]</f>
        <v>-606804.18749999814</v>
      </c>
      <c r="AV1730" s="102">
        <f ca="1">Tab1SDataShiftSummary[[#This Row],[Summary20]]-Tab1SDataShiftSummary[[#This Row],[Summary19]]</f>
        <v>0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-4687348.0637377175</v>
      </c>
      <c r="G1731" s="790">
        <v>-4727241.0987377185</v>
      </c>
      <c r="H1731" s="790">
        <v>-4693437.2151377173</v>
      </c>
      <c r="I1731" s="790">
        <v>-4703172.521737718</v>
      </c>
      <c r="J1731" s="790">
        <v>-4703172.521737718</v>
      </c>
      <c r="K1731" s="790">
        <v>-4789031.8837377168</v>
      </c>
      <c r="L1731" s="790">
        <v>-4766683.4017377179</v>
      </c>
      <c r="M1731" s="790">
        <v>-4812363.4587377179</v>
      </c>
      <c r="N1731" s="790">
        <v>-4613933.5587377176</v>
      </c>
      <c r="O1731" s="790">
        <v>-4678315.0843377179</v>
      </c>
      <c r="P1731" s="790">
        <v>-4833187.9717377182</v>
      </c>
      <c r="Q1731" s="790">
        <v>-5087811.4820377184</v>
      </c>
      <c r="R1731" s="790">
        <v>-4917659.663737718</v>
      </c>
      <c r="S1731" s="790">
        <v>-5032574.2837377181</v>
      </c>
      <c r="T1731" s="790">
        <v>-4897970.7037377181</v>
      </c>
      <c r="U1731" s="790">
        <v>-4756758.2347377175</v>
      </c>
      <c r="V1731" s="790">
        <v>-4696210.4097377164</v>
      </c>
      <c r="W1731" s="790">
        <v>-4678750.9553377172</v>
      </c>
      <c r="X1731" s="790">
        <v>-4642420.1373377182</v>
      </c>
      <c r="Y1731" s="790">
        <v>-4651686.4053377183</v>
      </c>
      <c r="Z1731" s="790">
        <f ca="1">Calc!BG103</f>
        <v>-4651686.4053377183</v>
      </c>
      <c r="AB1731" s="102">
        <f ca="1">Tab1SDataShiftSummary[[#This Row],[Summary0]]-Tab1SDataShiftSummary[[#This Row],[Summary20]]</f>
        <v>-35661.658399999142</v>
      </c>
      <c r="AC1731" s="102">
        <f>Tab1SDataShiftSummary[[#This Row],[Summary1]]-Tab1SDataShiftSummary[[#This Row],[Summary0]]</f>
        <v>-39893.03500000108</v>
      </c>
      <c r="AD1731" s="102">
        <f>Tab1SDataShiftSummary[[#This Row],[Summary2]]-Tab1SDataShiftSummary[[#This Row],[Summary1]]</f>
        <v>33803.883600001223</v>
      </c>
      <c r="AE1731" s="102">
        <f>Tab1SDataShiftSummary[[#This Row],[Summary3]]-Tab1SDataShiftSummary[[#This Row],[Summary2]]</f>
        <v>-9735.3066000007093</v>
      </c>
      <c r="AF1731" s="102">
        <f>Tab1SDataShiftSummary[[#This Row],[Summary4]]-Tab1SDataShiftSummary[[#This Row],[Summary3]]</f>
        <v>0</v>
      </c>
      <c r="AG1731" s="102">
        <f>Tab1SDataShiftSummary[[#This Row],[Summary5]]-Tab1SDataShiftSummary[[#This Row],[Summary4]]</f>
        <v>-85859.3619999988</v>
      </c>
      <c r="AH1731" s="102">
        <f>Tab1SDataShiftSummary[[#This Row],[Summary6]]-Tab1SDataShiftSummary[[#This Row],[Summary5]]</f>
        <v>22348.481999998912</v>
      </c>
      <c r="AI1731" s="102">
        <f>Tab1SDataShiftSummary[[#This Row],[Summary7]]-Tab1SDataShiftSummary[[#This Row],[Summary6]]</f>
        <v>-45680.05700000003</v>
      </c>
      <c r="AJ1731" s="102">
        <f>Tab1SDataShiftSummary[[#This Row],[Summary8]]-Tab1SDataShiftSummary[[#This Row],[Summary7]]</f>
        <v>198429.90000000037</v>
      </c>
      <c r="AK1731" s="102">
        <f>Tab1SDataShiftSummary[[#This Row],[Summary9]]-Tab1SDataShiftSummary[[#This Row],[Summary8]]</f>
        <v>-64381.525600000285</v>
      </c>
      <c r="AL1731" s="102">
        <f>Tab1SDataShiftSummary[[#This Row],[Summary10]]-Tab1SDataShiftSummary[[#This Row],[Summary9]]</f>
        <v>-154872.88740000036</v>
      </c>
      <c r="AM1731" s="102">
        <f>Tab1SDataShiftSummary[[#This Row],[Summary11]]-Tab1SDataShiftSummary[[#This Row],[Summary10]]</f>
        <v>-254623.5103000002</v>
      </c>
      <c r="AN1731" s="102">
        <f>Tab1SDataShiftSummary[[#This Row],[Summary12]]-Tab1SDataShiftSummary[[#This Row],[Summary11]]</f>
        <v>170151.81830000039</v>
      </c>
      <c r="AO1731" s="102">
        <f>Tab1SDataShiftSummary[[#This Row],[Summary13]]-Tab1SDataShiftSummary[[#This Row],[Summary12]]</f>
        <v>-114914.62000000011</v>
      </c>
      <c r="AP1731" s="102">
        <f>Tab1SDataShiftSummary[[#This Row],[Summary14]]-Tab1SDataShiftSummary[[#This Row],[Summary13]]</f>
        <v>134603.58000000007</v>
      </c>
      <c r="AQ1731" s="102">
        <f>Tab1SDataShiftSummary[[#This Row],[Summary15]]-Tab1SDataShiftSummary[[#This Row],[Summary14]]</f>
        <v>141212.46900000051</v>
      </c>
      <c r="AR1731" s="102">
        <f>Tab1SDataShiftSummary[[#This Row],[Summary16]]-Tab1SDataShiftSummary[[#This Row],[Summary15]]</f>
        <v>60547.825000001118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0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-63119.495674918049</v>
      </c>
      <c r="G1733" s="790">
        <v>-63965.142242918067</v>
      </c>
      <c r="H1733" s="790">
        <v>-61576.519771844287</v>
      </c>
      <c r="I1733" s="790">
        <v>-61576.519771844287</v>
      </c>
      <c r="J1733" s="790">
        <v>-61576.519771844287</v>
      </c>
      <c r="K1733" s="790">
        <v>-61504.944464344298</v>
      </c>
      <c r="L1733" s="790">
        <v>-61323.984021844299</v>
      </c>
      <c r="M1733" s="790">
        <v>-61252.408714344288</v>
      </c>
      <c r="N1733" s="790">
        <v>-61286.158714344288</v>
      </c>
      <c r="O1733" s="790">
        <v>-61286.158714344288</v>
      </c>
      <c r="P1733" s="790">
        <v>-61357.734021844299</v>
      </c>
      <c r="Q1733" s="790">
        <v>-62227.16481434428</v>
      </c>
      <c r="R1733" s="790">
        <v>-62227.16481434428</v>
      </c>
      <c r="S1733" s="790">
        <v>-62227.16481434428</v>
      </c>
      <c r="T1733" s="790">
        <v>-62227.16481434428</v>
      </c>
      <c r="U1733" s="790">
        <v>-85553.69053232095</v>
      </c>
      <c r="V1733" s="790">
        <v>-85553.69053232095</v>
      </c>
      <c r="W1733" s="790">
        <v>-87116.986016525945</v>
      </c>
      <c r="X1733" s="790">
        <v>-90185.628700232177</v>
      </c>
      <c r="Y1733" s="790">
        <v>-86714.55602549469</v>
      </c>
      <c r="Z1733" s="790">
        <f ca="1">Calc!BI103</f>
        <v>-86714.55602549469</v>
      </c>
      <c r="AB1733" s="102">
        <f ca="1">Tab1SDataShiftSummary[[#This Row],[Summary0]]-Tab1SDataShiftSummary[[#This Row],[Summary20]]</f>
        <v>23595.060350576641</v>
      </c>
      <c r="AC1733" s="102">
        <f>Tab1SDataShiftSummary[[#This Row],[Summary1]]-Tab1SDataShiftSummary[[#This Row],[Summary0]]</f>
        <v>-845.64656800001831</v>
      </c>
      <c r="AD1733" s="102">
        <f>Tab1SDataShiftSummary[[#This Row],[Summary2]]-Tab1SDataShiftSummary[[#This Row],[Summary1]]</f>
        <v>2388.6224710737806</v>
      </c>
      <c r="AE1733" s="102">
        <f>Tab1SDataShiftSummary[[#This Row],[Summary3]]-Tab1SDataShiftSummary[[#This Row],[Summary2]]</f>
        <v>0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71.575307499988412</v>
      </c>
      <c r="AH1733" s="102">
        <f>Tab1SDataShiftSummary[[#This Row],[Summary6]]-Tab1SDataShiftSummary[[#This Row],[Summary5]]</f>
        <v>180.96044249999977</v>
      </c>
      <c r="AI1733" s="102">
        <f>Tab1SDataShiftSummary[[#This Row],[Summary7]]-Tab1SDataShiftSummary[[#This Row],[Summary6]]</f>
        <v>71.57530750001024</v>
      </c>
      <c r="AJ1733" s="102">
        <f>Tab1SDataShiftSummary[[#This Row],[Summary8]]-Tab1SDataShiftSummary[[#This Row],[Summary7]]</f>
        <v>-33.75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-71.57530750001024</v>
      </c>
      <c r="AM1733" s="102">
        <f>Tab1SDataShiftSummary[[#This Row],[Summary11]]-Tab1SDataShiftSummary[[#This Row],[Summary10]]</f>
        <v>-869.43079249998118</v>
      </c>
      <c r="AN1733" s="102">
        <f>Tab1SDataShiftSummary[[#This Row],[Summary12]]-Tab1SDataShiftSummary[[#This Row],[Summary11]]</f>
        <v>0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-23326.52571797667</v>
      </c>
      <c r="AR1733" s="102">
        <f>Tab1SDataShiftSummary[[#This Row],[Summary16]]-Tab1SDataShiftSummary[[#This Row],[Summary15]]</f>
        <v>0</v>
      </c>
      <c r="AS1733" s="102">
        <f>Tab1SDataShiftSummary[[#This Row],[Summary17]]-Tab1SDataShiftSummary[[#This Row],[Summary16]]</f>
        <v>-1563.2954842049949</v>
      </c>
      <c r="AT1733" s="102">
        <f>Tab1SDataShiftSummary[[#This Row],[Summary18]]-Tab1SDataShiftSummary[[#This Row],[Summary17]]</f>
        <v>-3068.6426837062318</v>
      </c>
      <c r="AU1733" s="102">
        <f>Tab1SDataShiftSummary[[#This Row],[Summary19]]-Tab1SDataShiftSummary[[#This Row],[Summary18]]</f>
        <v>3471.0726747374865</v>
      </c>
      <c r="AV1733" s="102">
        <f ca="1">Tab1SDataShiftSummary[[#This Row],[Summary20]]-Tab1SDataShiftSummary[[#This Row],[Summary19]]</f>
        <v>0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-6897205.2749739997</v>
      </c>
      <c r="G1734" s="790">
        <v>-6815997.8949739989</v>
      </c>
      <c r="H1734" s="790">
        <v>-6821007.1879739966</v>
      </c>
      <c r="I1734" s="790">
        <v>-6821007.1879739966</v>
      </c>
      <c r="J1734" s="790">
        <v>-6821007.1879739966</v>
      </c>
      <c r="K1734" s="790">
        <v>-6815997.8949739989</v>
      </c>
      <c r="L1734" s="790">
        <v>-6101772.7729739975</v>
      </c>
      <c r="M1734" s="790">
        <v>-6096763.4799739979</v>
      </c>
      <c r="N1734" s="790">
        <v>-6110263.4799739979</v>
      </c>
      <c r="O1734" s="790">
        <v>-6110263.4799739979</v>
      </c>
      <c r="P1734" s="790">
        <v>-6115272.7729739975</v>
      </c>
      <c r="Q1734" s="790">
        <v>-6479587.1049739979</v>
      </c>
      <c r="R1734" s="790">
        <v>-6479587.1049739979</v>
      </c>
      <c r="S1734" s="790">
        <v>-6479587.1049739979</v>
      </c>
      <c r="T1734" s="790">
        <v>-6479587.1049739979</v>
      </c>
      <c r="U1734" s="790">
        <v>-6236894.0352746602</v>
      </c>
      <c r="V1734" s="790">
        <v>-6236894.0352746602</v>
      </c>
      <c r="W1734" s="790">
        <v>-6121823.5455856621</v>
      </c>
      <c r="X1734" s="790">
        <v>-6260535.8646431603</v>
      </c>
      <c r="Y1734" s="790">
        <v>-6085965.1697481573</v>
      </c>
      <c r="Z1734" s="790">
        <f ca="1">Z1730+Z1725</f>
        <v>-6085965.1697481573</v>
      </c>
      <c r="AB1734" s="102">
        <f ca="1">Tab1SDataShiftSummary[[#This Row],[Summary0]]-Tab1SDataShiftSummary[[#This Row],[Summary20]]</f>
        <v>-811240.10522584245</v>
      </c>
      <c r="AC1734" s="102">
        <f>Tab1SDataShiftSummary[[#This Row],[Summary1]]-Tab1SDataShiftSummary[[#This Row],[Summary0]]</f>
        <v>81207.38000000082</v>
      </c>
      <c r="AD1734" s="102">
        <f>Tab1SDataShiftSummary[[#This Row],[Summary2]]-Tab1SDataShiftSummary[[#This Row],[Summary1]]</f>
        <v>-5009.292999997735</v>
      </c>
      <c r="AE1734" s="102">
        <f>Tab1SDataShiftSummary[[#This Row],[Summary3]]-Tab1SDataShiftSummary[[#This Row],[Summary2]]</f>
        <v>0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5009.292999997735</v>
      </c>
      <c r="AH1734" s="102">
        <f>Tab1SDataShiftSummary[[#This Row],[Summary6]]-Tab1SDataShiftSummary[[#This Row],[Summary5]]</f>
        <v>714225.12200000137</v>
      </c>
      <c r="AI1734" s="102">
        <f>Tab1SDataShiftSummary[[#This Row],[Summary7]]-Tab1SDataShiftSummary[[#This Row],[Summary6]]</f>
        <v>5009.2929999995977</v>
      </c>
      <c r="AJ1734" s="102">
        <f>Tab1SDataShiftSummary[[#This Row],[Summary8]]-Tab1SDataShiftSummary[[#This Row],[Summary7]]</f>
        <v>-13500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-5009.2929999995977</v>
      </c>
      <c r="AM1734" s="102">
        <f>Tab1SDataShiftSummary[[#This Row],[Summary11]]-Tab1SDataShiftSummary[[#This Row],[Summary10]]</f>
        <v>-364314.3320000004</v>
      </c>
      <c r="AN1734" s="102">
        <f>Tab1SDataShiftSummary[[#This Row],[Summary12]]-Tab1SDataShiftSummary[[#This Row],[Summary11]]</f>
        <v>0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242693.06969933771</v>
      </c>
      <c r="AR1734" s="102">
        <f>Tab1SDataShiftSummary[[#This Row],[Summary16]]-Tab1SDataShiftSummary[[#This Row],[Summary15]]</f>
        <v>0</v>
      </c>
      <c r="AS1734" s="102">
        <f>Tab1SDataShiftSummary[[#This Row],[Summary17]]-Tab1SDataShiftSummary[[#This Row],[Summary16]]</f>
        <v>115070.48968899809</v>
      </c>
      <c r="AT1734" s="102">
        <f>Tab1SDataShiftSummary[[#This Row],[Summary18]]-Tab1SDataShiftSummary[[#This Row],[Summary17]]</f>
        <v>-138712.31905749813</v>
      </c>
      <c r="AU1734" s="102">
        <f>Tab1SDataShiftSummary[[#This Row],[Summary19]]-Tab1SDataShiftSummary[[#This Row],[Summary18]]</f>
        <v>174570.69489500299</v>
      </c>
      <c r="AV1734" s="102">
        <f ca="1">Tab1SDataShiftSummary[[#This Row],[Summary20]]-Tab1SDataShiftSummary[[#This Row],[Summary19]]</f>
        <v>0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0.30581216815430234</v>
      </c>
      <c r="G1735" s="965">
        <v>0.28905362815125069</v>
      </c>
      <c r="H1735" s="965">
        <v>0.29422085067573217</v>
      </c>
      <c r="I1735" s="965">
        <v>0.29287455879061841</v>
      </c>
      <c r="J1735" s="965">
        <v>0.29287455879061841</v>
      </c>
      <c r="K1735" s="965">
        <v>0.28050268022722863</v>
      </c>
      <c r="L1735" s="965">
        <v>0.20453879460968213</v>
      </c>
      <c r="M1735" s="965">
        <v>0.19692419496500188</v>
      </c>
      <c r="N1735" s="965">
        <v>0.22894341292919937</v>
      </c>
      <c r="O1735" s="965">
        <v>0.21909282717851511</v>
      </c>
      <c r="P1735" s="965">
        <v>0.19601297111862218</v>
      </c>
      <c r="Q1735" s="965">
        <v>0.20155674575536142</v>
      </c>
      <c r="R1735" s="965">
        <v>0.22619810763562739</v>
      </c>
      <c r="S1735" s="965">
        <v>0.20955618887716496</v>
      </c>
      <c r="T1735" s="965">
        <v>0.22904945999408799</v>
      </c>
      <c r="U1735" s="965">
        <v>0.22677860306713704</v>
      </c>
      <c r="V1735" s="965">
        <v>0.23583948956123507</v>
      </c>
      <c r="W1735" s="965">
        <v>0.22122599716494076</v>
      </c>
      <c r="X1735" s="965">
        <v>0.24241821400859698</v>
      </c>
      <c r="Y1735" s="965">
        <v>0.22107578141586012</v>
      </c>
      <c r="Z1735" s="965">
        <f ca="1">Z1727/ABS(Z1726)</f>
        <v>0.22107578141586012</v>
      </c>
      <c r="AB1735" s="102">
        <f ca="1">Tab1SDataShiftSummary[[#This Row],[Summary0]]-Tab1SDataShiftSummary[[#This Row],[Summary20]]</f>
        <v>8.4736386738442221E-2</v>
      </c>
      <c r="AC1735" s="102">
        <f>Tab1SDataShiftSummary[[#This Row],[Summary1]]-Tab1SDataShiftSummary[[#This Row],[Summary0]]</f>
        <v>-1.6758540003051658E-2</v>
      </c>
      <c r="AD1735" s="102">
        <f>Tab1SDataShiftSummary[[#This Row],[Summary2]]-Tab1SDataShiftSummary[[#This Row],[Summary1]]</f>
        <v>5.1672225244814851E-3</v>
      </c>
      <c r="AE1735" s="102">
        <f>Tab1SDataShiftSummary[[#This Row],[Summary3]]-Tab1SDataShiftSummary[[#This Row],[Summary2]]</f>
        <v>-1.3462918851137595E-3</v>
      </c>
      <c r="AF1735" s="102">
        <f>Tab1SDataShiftSummary[[#This Row],[Summary4]]-Tab1SDataShiftSummary[[#This Row],[Summary3]]</f>
        <v>0</v>
      </c>
      <c r="AG1735" s="102">
        <f>Tab1SDataShiftSummary[[#This Row],[Summary5]]-Tab1SDataShiftSummary[[#This Row],[Summary4]]</f>
        <v>-1.2371878563389782E-2</v>
      </c>
      <c r="AH1735" s="102">
        <f>Tab1SDataShiftSummary[[#This Row],[Summary6]]-Tab1SDataShiftSummary[[#This Row],[Summary5]]</f>
        <v>-7.5963885617546495E-2</v>
      </c>
      <c r="AI1735" s="102">
        <f>Tab1SDataShiftSummary[[#This Row],[Summary7]]-Tab1SDataShiftSummary[[#This Row],[Summary6]]</f>
        <v>-7.6145996446802533E-3</v>
      </c>
      <c r="AJ1735" s="102">
        <f>Tab1SDataShiftSummary[[#This Row],[Summary8]]-Tab1SDataShiftSummary[[#This Row],[Summary7]]</f>
        <v>3.2019217964197488E-2</v>
      </c>
      <c r="AK1735" s="102">
        <f>Tab1SDataShiftSummary[[#This Row],[Summary9]]-Tab1SDataShiftSummary[[#This Row],[Summary8]]</f>
        <v>-9.8505857506842598E-3</v>
      </c>
      <c r="AL1735" s="102">
        <f>Tab1SDataShiftSummary[[#This Row],[Summary10]]-Tab1SDataShiftSummary[[#This Row],[Summary9]]</f>
        <v>-2.3079856059892934E-2</v>
      </c>
      <c r="AM1735" s="102">
        <f>Tab1SDataShiftSummary[[#This Row],[Summary11]]-Tab1SDataShiftSummary[[#This Row],[Summary10]]</f>
        <v>5.543774636739246E-3</v>
      </c>
      <c r="AN1735" s="102">
        <f>Tab1SDataShiftSummary[[#This Row],[Summary12]]-Tab1SDataShiftSummary[[#This Row],[Summary11]]</f>
        <v>2.4641361880265972E-2</v>
      </c>
      <c r="AO1735" s="102">
        <f>Tab1SDataShiftSummary[[#This Row],[Summary13]]-Tab1SDataShiftSummary[[#This Row],[Summary12]]</f>
        <v>-1.6641918758462437E-2</v>
      </c>
      <c r="AP1735" s="102">
        <f>Tab1SDataShiftSummary[[#This Row],[Summary14]]-Tab1SDataShiftSummary[[#This Row],[Summary13]]</f>
        <v>1.9493271116923033E-2</v>
      </c>
      <c r="AQ1735" s="102">
        <f>Tab1SDataShiftSummary[[#This Row],[Summary15]]-Tab1SDataShiftSummary[[#This Row],[Summary14]]</f>
        <v>-2.2708569269509482E-3</v>
      </c>
      <c r="AR1735" s="102">
        <f>Tab1SDataShiftSummary[[#This Row],[Summary16]]-Tab1SDataShiftSummary[[#This Row],[Summary15]]</f>
        <v>9.0608864940980305E-3</v>
      </c>
      <c r="AS1735" s="102">
        <f>Tab1SDataShiftSummary[[#This Row],[Summary17]]-Tab1SDataShiftSummary[[#This Row],[Summary16]]</f>
        <v>-1.4613492396294309E-2</v>
      </c>
      <c r="AT1735" s="102">
        <f>Tab1SDataShiftSummary[[#This Row],[Summary18]]-Tab1SDataShiftSummary[[#This Row],[Summary17]]</f>
        <v>2.1192216843656214E-2</v>
      </c>
      <c r="AU1735" s="102">
        <f>Tab1SDataShiftSummary[[#This Row],[Summary19]]-Tab1SDataShiftSummary[[#This Row],[Summary18]]</f>
        <v>-2.1342432592736854E-2</v>
      </c>
      <c r="AV1735" s="102">
        <f ca="1">Tab1SDataShiftSummary[[#This Row],[Summary20]]-Tab1SDataShiftSummary[[#This Row],[Summary19]]</f>
        <v>0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7362870</v>
      </c>
      <c r="G1736" s="790">
        <v>7274720</v>
      </c>
      <c r="H1736" s="790">
        <v>7320450</v>
      </c>
      <c r="I1736" s="790">
        <v>7329630</v>
      </c>
      <c r="J1736" s="790">
        <v>7329630</v>
      </c>
      <c r="K1736" s="790">
        <v>7286270</v>
      </c>
      <c r="L1736" s="790">
        <v>6617350</v>
      </c>
      <c r="M1736" s="790">
        <v>6603450</v>
      </c>
      <c r="N1736" s="790">
        <v>6681550</v>
      </c>
      <c r="O1736" s="790">
        <v>6657370</v>
      </c>
      <c r="P1736" s="790">
        <v>6536990</v>
      </c>
      <c r="Q1736" s="790">
        <v>6705020</v>
      </c>
      <c r="R1736" s="790">
        <v>6865530</v>
      </c>
      <c r="S1736" s="790">
        <v>6800680</v>
      </c>
      <c r="T1736" s="790">
        <v>6944250</v>
      </c>
      <c r="U1736" s="790">
        <v>6721290</v>
      </c>
      <c r="V1736" s="790">
        <v>6799290</v>
      </c>
      <c r="W1736" s="790">
        <v>6797910</v>
      </c>
      <c r="X1736" s="790">
        <v>6928150</v>
      </c>
      <c r="Y1736" s="790">
        <v>6796560</v>
      </c>
      <c r="Z1736" s="790">
        <f ca="1">Calc!BM103</f>
        <v>6796560</v>
      </c>
      <c r="AB1736" s="102">
        <f ca="1">Tab1SDataShiftSummary[[#This Row],[Summary0]]-Tab1SDataShiftSummary[[#This Row],[Summary20]]</f>
        <v>566310</v>
      </c>
      <c r="AC1736" s="102">
        <f>Tab1SDataShiftSummary[[#This Row],[Summary1]]-Tab1SDataShiftSummary[[#This Row],[Summary0]]</f>
        <v>-88150</v>
      </c>
      <c r="AD1736" s="102">
        <f>Tab1SDataShiftSummary[[#This Row],[Summary2]]-Tab1SDataShiftSummary[[#This Row],[Summary1]]</f>
        <v>45730</v>
      </c>
      <c r="AE1736" s="102">
        <f>Tab1SDataShiftSummary[[#This Row],[Summary3]]-Tab1SDataShiftSummary[[#This Row],[Summary2]]</f>
        <v>9180</v>
      </c>
      <c r="AF1736" s="102">
        <f>Tab1SDataShiftSummary[[#This Row],[Summary4]]-Tab1SDataShiftSummary[[#This Row],[Summary3]]</f>
        <v>0</v>
      </c>
      <c r="AG1736" s="102">
        <f>Tab1SDataShiftSummary[[#This Row],[Summary5]]-Tab1SDataShiftSummary[[#This Row],[Summary4]]</f>
        <v>-43360</v>
      </c>
      <c r="AH1736" s="102">
        <f>Tab1SDataShiftSummary[[#This Row],[Summary6]]-Tab1SDataShiftSummary[[#This Row],[Summary5]]</f>
        <v>-668920</v>
      </c>
      <c r="AI1736" s="102">
        <f>Tab1SDataShiftSummary[[#This Row],[Summary7]]-Tab1SDataShiftSummary[[#This Row],[Summary6]]</f>
        <v>-13900</v>
      </c>
      <c r="AJ1736" s="102">
        <f>Tab1SDataShiftSummary[[#This Row],[Summary8]]-Tab1SDataShiftSummary[[#This Row],[Summary7]]</f>
        <v>78100</v>
      </c>
      <c r="AK1736" s="102">
        <f>Tab1SDataShiftSummary[[#This Row],[Summary9]]-Tab1SDataShiftSummary[[#This Row],[Summary8]]</f>
        <v>-24180</v>
      </c>
      <c r="AL1736" s="102">
        <f>Tab1SDataShiftSummary[[#This Row],[Summary10]]-Tab1SDataShiftSummary[[#This Row],[Summary9]]</f>
        <v>-120380</v>
      </c>
      <c r="AM1736" s="102">
        <f>Tab1SDataShiftSummary[[#This Row],[Summary11]]-Tab1SDataShiftSummary[[#This Row],[Summary10]]</f>
        <v>168030</v>
      </c>
      <c r="AN1736" s="102">
        <f>Tab1SDataShiftSummary[[#This Row],[Summary12]]-Tab1SDataShiftSummary[[#This Row],[Summary11]]</f>
        <v>160510</v>
      </c>
      <c r="AO1736" s="102">
        <f>Tab1SDataShiftSummary[[#This Row],[Summary13]]-Tab1SDataShiftSummary[[#This Row],[Summary12]]</f>
        <v>-64850</v>
      </c>
      <c r="AP1736" s="102">
        <f>Tab1SDataShiftSummary[[#This Row],[Summary14]]-Tab1SDataShiftSummary[[#This Row],[Summary13]]</f>
        <v>143570</v>
      </c>
      <c r="AQ1736" s="102">
        <f>Tab1SDataShiftSummary[[#This Row],[Summary15]]-Tab1SDataShiftSummary[[#This Row],[Summary14]]</f>
        <v>-222960</v>
      </c>
      <c r="AR1736" s="102">
        <f>Tab1SDataShiftSummary[[#This Row],[Summary16]]-Tab1SDataShiftSummary[[#This Row],[Summary15]]</f>
        <v>78000</v>
      </c>
      <c r="AS1736" s="102">
        <f>Tab1SDataShiftSummary[[#This Row],[Summary17]]-Tab1SDataShiftSummary[[#This Row],[Summary16]]</f>
        <v>-1380</v>
      </c>
      <c r="AT1736" s="102">
        <f>Tab1SDataShiftSummary[[#This Row],[Summary18]]-Tab1SDataShiftSummary[[#This Row],[Summary17]]</f>
        <v>130240</v>
      </c>
      <c r="AU1736" s="1203">
        <f>Tab1SDataShiftSummary[[#This Row],[Summary19]]-Tab1SDataShiftSummary[[#This Row],[Summary18]]</f>
        <v>-131590</v>
      </c>
      <c r="AV1736" s="1203">
        <f ca="1">Tab1SDataShiftSummary[[#This Row],[Summary20]]-Tab1SDataShiftSummary[[#This Row],[Summary19]]</f>
        <v>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EOAN</v>
      </c>
      <c r="BD1736" t="str" cm="1">
        <f t="array" aca="1" ref="BD1736" ca="1">_xlfn.XLOOKUP(_xlfn.XLOOKUP(Z$3,Entries!A$479:'Entries'!A$571,Entries!B$479:'Entries'!B$571),TabCalc[Ticker],TabCalc[Cur])</f>
        <v>EUR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2583807.16</v>
      </c>
      <c r="G1737" s="790">
        <v>2641996.7449999996</v>
      </c>
      <c r="H1737" s="790">
        <v>2644580.7716000001</v>
      </c>
      <c r="I1737" s="790">
        <v>2625665.4649999999</v>
      </c>
      <c r="J1737" s="790">
        <v>2625665.4649999999</v>
      </c>
      <c r="K1737" s="790">
        <v>2568655.96</v>
      </c>
      <c r="L1737" s="790">
        <v>2528300.17</v>
      </c>
      <c r="M1737" s="790">
        <v>2482009.9699999997</v>
      </c>
      <c r="N1737" s="790">
        <v>2615839.87</v>
      </c>
      <c r="O1737" s="790">
        <v>2575638.3443999998</v>
      </c>
      <c r="P1737" s="790">
        <v>2555655.6</v>
      </c>
      <c r="Q1737" s="790">
        <v>2524216.4216999998</v>
      </c>
      <c r="R1737" s="790">
        <v>2533858.2400000002</v>
      </c>
      <c r="S1737" s="790">
        <v>2483793.62</v>
      </c>
      <c r="T1737" s="790">
        <v>2474827.2000000002</v>
      </c>
      <c r="U1737" s="790">
        <v>2631330.0449999995</v>
      </c>
      <c r="V1737" s="790">
        <v>2613877.8699999996</v>
      </c>
      <c r="W1737" s="790">
        <v>2616265.5600000005</v>
      </c>
      <c r="X1737" s="790">
        <v>2634699.5549999997</v>
      </c>
      <c r="Y1737" s="790">
        <v>2581764.4449999998</v>
      </c>
      <c r="Z1737" s="790">
        <f ca="1">Calc!BN103</f>
        <v>2581764.4449999998</v>
      </c>
      <c r="AB1737" s="102">
        <f ca="1">Tab1SDataShiftSummary[[#This Row],[Summary0]]-Tab1SDataShiftSummary[[#This Row],[Summary20]]</f>
        <v>2042.7150000003166</v>
      </c>
      <c r="AC1737" s="102">
        <f>Tab1SDataShiftSummary[[#This Row],[Summary1]]-Tab1SDataShiftSummary[[#This Row],[Summary0]]</f>
        <v>58189.584999999497</v>
      </c>
      <c r="AD1737" s="102">
        <f>Tab1SDataShiftSummary[[#This Row],[Summary2]]-Tab1SDataShiftSummary[[#This Row],[Summary1]]</f>
        <v>2584.0266000004485</v>
      </c>
      <c r="AE1737" s="102">
        <f>Tab1SDataShiftSummary[[#This Row],[Summary3]]-Tab1SDataShiftSummary[[#This Row],[Summary2]]</f>
        <v>-18915.306600000244</v>
      </c>
      <c r="AF1737" s="102">
        <f>Tab1SDataShiftSummary[[#This Row],[Summary4]]-Tab1SDataShiftSummary[[#This Row],[Summary3]]</f>
        <v>0</v>
      </c>
      <c r="AG1737" s="102">
        <f>Tab1SDataShiftSummary[[#This Row],[Summary5]]-Tab1SDataShiftSummary[[#This Row],[Summary4]]</f>
        <v>-57009.504999999888</v>
      </c>
      <c r="AH1737" s="102">
        <f>Tab1SDataShiftSummary[[#This Row],[Summary6]]-Tab1SDataShiftSummary[[#This Row],[Summary5]]</f>
        <v>-40355.790000000037</v>
      </c>
      <c r="AI1737" s="102">
        <f>Tab1SDataShiftSummary[[#This Row],[Summary7]]-Tab1SDataShiftSummary[[#This Row],[Summary6]]</f>
        <v>-46290.200000000186</v>
      </c>
      <c r="AJ1737" s="102">
        <f>Tab1SDataShiftSummary[[#This Row],[Summary8]]-Tab1SDataShiftSummary[[#This Row],[Summary7]]</f>
        <v>133829.90000000037</v>
      </c>
      <c r="AK1737" s="102">
        <f>Tab1SDataShiftSummary[[#This Row],[Summary9]]-Tab1SDataShiftSummary[[#This Row],[Summary8]]</f>
        <v>-40201.525600000285</v>
      </c>
      <c r="AL1737" s="102">
        <f>Tab1SDataShiftSummary[[#This Row],[Summary10]]-Tab1SDataShiftSummary[[#This Row],[Summary9]]</f>
        <v>-19982.744399999734</v>
      </c>
      <c r="AM1737" s="102">
        <f>Tab1SDataShiftSummary[[#This Row],[Summary11]]-Tab1SDataShiftSummary[[#This Row],[Summary10]]</f>
        <v>-31439.178300000262</v>
      </c>
      <c r="AN1737" s="102">
        <f>Tab1SDataShiftSummary[[#This Row],[Summary12]]-Tab1SDataShiftSummary[[#This Row],[Summary11]]</f>
        <v>9641.8183000003919</v>
      </c>
      <c r="AO1737" s="102">
        <f>Tab1SDataShiftSummary[[#This Row],[Summary13]]-Tab1SDataShiftSummary[[#This Row],[Summary12]]</f>
        <v>-50064.620000000112</v>
      </c>
      <c r="AP1737" s="102">
        <f>Tab1SDataShiftSummary[[#This Row],[Summary14]]-Tab1SDataShiftSummary[[#This Row],[Summary13]]</f>
        <v>-8966.4199999999255</v>
      </c>
      <c r="AQ1737" s="102">
        <f>Tab1SDataShiftSummary[[#This Row],[Summary15]]-Tab1SDataShiftSummary[[#This Row],[Summary14]]</f>
        <v>156502.84499999927</v>
      </c>
      <c r="AR1737" s="102">
        <f>Tab1SDataShiftSummary[[#This Row],[Summary16]]-Tab1SDataShiftSummary[[#This Row],[Summary15]]</f>
        <v>-17452.174999999814</v>
      </c>
      <c r="AS1737" s="102">
        <f>Tab1SDataShiftSummary[[#This Row],[Summary17]]-Tab1SDataShiftSummary[[#This Row],[Summary16]]</f>
        <v>2387.6900000008754</v>
      </c>
      <c r="AT1737" s="102">
        <f>Tab1SDataShiftSummary[[#This Row],[Summary18]]-Tab1SDataShiftSummary[[#This Row],[Summary17]]</f>
        <v>18433.99499999918</v>
      </c>
      <c r="AU1737" s="102">
        <f>Tab1SDataShiftSummary[[#This Row],[Summary19]]-Tab1SDataShiftSummary[[#This Row],[Summary18]]</f>
        <v>-52935.10999999987</v>
      </c>
      <c r="AV1737" s="102">
        <f ca="1">Tab1SDataShiftSummary[[#This Row],[Summary20]]-Tab1SDataShiftSummary[[#This Row],[Summary19]]</f>
        <v>0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-0.6486609483078658</v>
      </c>
      <c r="G1740" s="331">
        <v>-0.65418156541632633</v>
      </c>
      <c r="H1740" s="331">
        <v>-0.64905366576031287</v>
      </c>
      <c r="I1740" s="331">
        <v>-0.65039995764542669</v>
      </c>
      <c r="J1740" s="331">
        <v>-0.65039995764542669</v>
      </c>
      <c r="K1740" s="331">
        <v>-0.66273251334034833</v>
      </c>
      <c r="L1740" s="331">
        <v>-0.73026697559175002</v>
      </c>
      <c r="M1740" s="331">
        <v>-0.73783150445509038</v>
      </c>
      <c r="N1740" s="331">
        <v>-0.70594705149866199</v>
      </c>
      <c r="O1740" s="331">
        <v>-0.71579763724934631</v>
      </c>
      <c r="P1740" s="331">
        <v>-0.73892735753639194</v>
      </c>
      <c r="Q1740" s="331">
        <v>-0.73681612785600026</v>
      </c>
      <c r="R1740" s="331">
        <v>-0.71217476597573426</v>
      </c>
      <c r="S1740" s="331">
        <v>-0.72881668473419658</v>
      </c>
      <c r="T1740" s="331">
        <v>-0.70932341361727358</v>
      </c>
      <c r="U1740" s="331">
        <v>-0.71184136580998814</v>
      </c>
      <c r="V1740" s="331">
        <v>-0.70278047931589005</v>
      </c>
      <c r="W1740" s="331">
        <v>-0.70016769950807245</v>
      </c>
      <c r="X1740" s="331">
        <v>-0.68056817181013818</v>
      </c>
      <c r="Y1740" s="331">
        <v>-0.69988263744591572</v>
      </c>
      <c r="Z1740" s="331">
        <f ca="1">-Z1731/Z1726</f>
        <v>-0.69988263744591572</v>
      </c>
      <c r="AB1740" s="102">
        <f ca="1">Tab1SDataShiftSummary[[#This Row],[Summary0]]-Tab1SDataShiftSummary[[#This Row],[Summary20]]</f>
        <v>5.122168913804992E-2</v>
      </c>
      <c r="AC1740" s="102">
        <f>Tab1SDataShiftSummary[[#This Row],[Summary1]]-Tab1SDataShiftSummary[[#This Row],[Summary0]]</f>
        <v>-5.5206171084605238E-3</v>
      </c>
      <c r="AD1740" s="102">
        <f>Tab1SDataShiftSummary[[#This Row],[Summary2]]-Tab1SDataShiftSummary[[#This Row],[Summary1]]</f>
        <v>5.1278996560134571E-3</v>
      </c>
      <c r="AE1740" s="102">
        <f>Tab1SDataShiftSummary[[#This Row],[Summary3]]-Tab1SDataShiftSummary[[#This Row],[Summary2]]</f>
        <v>-1.346291885113815E-3</v>
      </c>
      <c r="AF1740" s="102">
        <f>Tab1SDataShiftSummary[[#This Row],[Summary4]]-Tab1SDataShiftSummary[[#This Row],[Summary3]]</f>
        <v>0</v>
      </c>
      <c r="AG1740" s="102">
        <f>Tab1SDataShiftSummary[[#This Row],[Summary5]]-Tab1SDataShiftSummary[[#This Row],[Summary4]]</f>
        <v>-1.2332555694921643E-2</v>
      </c>
      <c r="AH1740" s="102">
        <f>Tab1SDataShiftSummary[[#This Row],[Summary6]]-Tab1SDataShiftSummary[[#This Row],[Summary5]]</f>
        <v>-6.7534462251401695E-2</v>
      </c>
      <c r="AI1740" s="102">
        <f>Tab1SDataShiftSummary[[#This Row],[Summary7]]-Tab1SDataShiftSummary[[#This Row],[Summary6]]</f>
        <v>-7.5645288633403585E-3</v>
      </c>
      <c r="AJ1740" s="102">
        <f>Tab1SDataShiftSummary[[#This Row],[Summary8]]-Tab1SDataShiftSummary[[#This Row],[Summary7]]</f>
        <v>3.1884452956428389E-2</v>
      </c>
      <c r="AK1740" s="102">
        <f>Tab1SDataShiftSummary[[#This Row],[Summary9]]-Tab1SDataShiftSummary[[#This Row],[Summary8]]</f>
        <v>-9.8505857506843153E-3</v>
      </c>
      <c r="AL1740" s="102">
        <f>Tab1SDataShiftSummary[[#This Row],[Summary10]]-Tab1SDataShiftSummary[[#This Row],[Summary9]]</f>
        <v>-2.312972028704563E-2</v>
      </c>
      <c r="AM1740" s="102">
        <f>Tab1SDataShiftSummary[[#This Row],[Summary11]]-Tab1SDataShiftSummary[[#This Row],[Summary10]]</f>
        <v>2.1112296803916797E-3</v>
      </c>
      <c r="AN1740" s="102">
        <f>Tab1SDataShiftSummary[[#This Row],[Summary12]]-Tab1SDataShiftSummary[[#This Row],[Summary11]]</f>
        <v>2.4641361880265999E-2</v>
      </c>
      <c r="AO1740" s="102">
        <f>Tab1SDataShiftSummary[[#This Row],[Summary13]]-Tab1SDataShiftSummary[[#This Row],[Summary12]]</f>
        <v>-1.6641918758462326E-2</v>
      </c>
      <c r="AP1740" s="102">
        <f>Tab1SDataShiftSummary[[#This Row],[Summary14]]-Tab1SDataShiftSummary[[#This Row],[Summary13]]</f>
        <v>1.9493271116923006E-2</v>
      </c>
      <c r="AQ1740" s="102">
        <f>Tab1SDataShiftSummary[[#This Row],[Summary15]]-Tab1SDataShiftSummary[[#This Row],[Summary14]]</f>
        <v>-2.5179521927145565E-3</v>
      </c>
      <c r="AR1740" s="102">
        <f>Tab1SDataShiftSummary[[#This Row],[Summary16]]-Tab1SDataShiftSummary[[#This Row],[Summary15]]</f>
        <v>9.060886494098086E-3</v>
      </c>
      <c r="AS1740" s="102">
        <f>Tab1SDataShiftSummary[[#This Row],[Summary17]]-Tab1SDataShiftSummary[[#This Row],[Summary16]]</f>
        <v>2.6127798078176001E-3</v>
      </c>
      <c r="AT1740" s="102">
        <f>Tab1SDataShiftSummary[[#This Row],[Summary18]]-Tab1SDataShiftSummary[[#This Row],[Summary17]]</f>
        <v>1.9599527697934271E-2</v>
      </c>
      <c r="AU1740" s="102">
        <f>Tab1SDataShiftSummary[[#This Row],[Summary19]]-Tab1SDataShiftSummary[[#This Row],[Summary18]]</f>
        <v>-1.9314465635777545E-2</v>
      </c>
      <c r="AV1740" s="102">
        <f ca="1">Tab1SDataShiftSummary[[#This Row],[Summary20]]-Tab1SDataShiftSummary[[#This Row],[Summary19]]</f>
        <v>0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0.32030476865205987</v>
      </c>
      <c r="G1741" s="331">
        <v>0.32281171177771828</v>
      </c>
      <c r="H1741" s="331">
        <v>0.32018606715136366</v>
      </c>
      <c r="I1741" s="331">
        <v>0.32085020931197739</v>
      </c>
      <c r="J1741" s="331">
        <v>0.32085020931197739</v>
      </c>
      <c r="K1741" s="331">
        <v>0.32703125308337855</v>
      </c>
      <c r="L1741" s="331">
        <v>0.34262285167033513</v>
      </c>
      <c r="M1741" s="331">
        <v>0.34626741974479108</v>
      </c>
      <c r="N1741" s="331">
        <v>0.33166747810681696</v>
      </c>
      <c r="O1741" s="331">
        <v>0.33629547241158619</v>
      </c>
      <c r="P1741" s="331">
        <v>0.34706633156571698</v>
      </c>
      <c r="Q1741" s="331">
        <v>0.35536735758979016</v>
      </c>
      <c r="R1741" s="331">
        <v>0.34348279734776005</v>
      </c>
      <c r="S1741" s="331">
        <v>0.35150921597628199</v>
      </c>
      <c r="T1741" s="331">
        <v>0.34210758647102207</v>
      </c>
      <c r="U1741" s="331">
        <v>0.33713450305381848</v>
      </c>
      <c r="V1741" s="331">
        <v>0.33284318533594631</v>
      </c>
      <c r="W1741" s="331">
        <v>0.33199285827863378</v>
      </c>
      <c r="X1741" s="331">
        <v>0.32680971483715116</v>
      </c>
      <c r="Y1741" s="331">
        <v>0.33155258787456632</v>
      </c>
      <c r="Z1741" s="331">
        <f ca="1">ABS((Z1724+Z1729)/Z1729)</f>
        <v>0.33155258787456632</v>
      </c>
      <c r="AB1741" s="331">
        <f ca="1">Tab1SDataShiftSummary[[#This Row],[Summary0]]-Tab1SDataShiftSummary[[#This Row],[Summary20]]</f>
        <v>-1.124781922250645E-2</v>
      </c>
      <c r="AC1741" s="331">
        <f>Tab1SDataShiftSummary[[#This Row],[Summary1]]-Tab1SDataShiftSummary[[#This Row],[Summary0]]</f>
        <v>2.5069431256584118E-3</v>
      </c>
      <c r="AD1741" s="331">
        <f>Tab1SDataShiftSummary[[#This Row],[Summary2]]-Tab1SDataShiftSummary[[#This Row],[Summary1]]</f>
        <v>-2.6256446263546174E-3</v>
      </c>
      <c r="AE1741" s="331">
        <f>Tab1SDataShiftSummary[[#This Row],[Summary3]]-Tab1SDataShiftSummary[[#This Row],[Summary2]]</f>
        <v>6.6414216061372322E-4</v>
      </c>
      <c r="AF1741" s="331">
        <f>Tab1SDataShiftSummary[[#This Row],[Summary4]]-Tab1SDataShiftSummary[[#This Row],[Summary3]]</f>
        <v>0</v>
      </c>
      <c r="AG1741" s="331">
        <f>Tab1SDataShiftSummary[[#This Row],[Summary5]]-Tab1SDataShiftSummary[[#This Row],[Summary4]]</f>
        <v>6.1810437714011623E-3</v>
      </c>
      <c r="AH1741" s="331">
        <f>Tab1SDataShiftSummary[[#This Row],[Summary6]]-Tab1SDataShiftSummary[[#This Row],[Summary5]]</f>
        <v>1.5591598586956579E-2</v>
      </c>
      <c r="AI1741" s="331">
        <f>Tab1SDataShiftSummary[[#This Row],[Summary7]]-Tab1SDataShiftSummary[[#This Row],[Summary6]]</f>
        <v>3.6445680744559561E-3</v>
      </c>
      <c r="AJ1741" s="331">
        <f>Tab1SDataShiftSummary[[#This Row],[Summary8]]-Tab1SDataShiftSummary[[#This Row],[Summary7]]</f>
        <v>-1.4599941637974123E-2</v>
      </c>
      <c r="AK1741" s="331">
        <f>Tab1SDataShiftSummary[[#This Row],[Summary9]]-Tab1SDataShiftSummary[[#This Row],[Summary8]]</f>
        <v>4.627994304769234E-3</v>
      </c>
      <c r="AL1741" s="331">
        <f>Tab1SDataShiftSummary[[#This Row],[Summary10]]-Tab1SDataShiftSummary[[#This Row],[Summary9]]</f>
        <v>1.0770859154130785E-2</v>
      </c>
      <c r="AM1741" s="331">
        <f>Tab1SDataShiftSummary[[#This Row],[Summary11]]-Tab1SDataShiftSummary[[#This Row],[Summary10]]</f>
        <v>8.301026024073177E-3</v>
      </c>
      <c r="AN1741" s="331">
        <f>Tab1SDataShiftSummary[[#This Row],[Summary12]]-Tab1SDataShiftSummary[[#This Row],[Summary11]]</f>
        <v>-1.1884560242030107E-2</v>
      </c>
      <c r="AO1741" s="331">
        <f>Tab1SDataShiftSummary[[#This Row],[Summary13]]-Tab1SDataShiftSummary[[#This Row],[Summary12]]</f>
        <v>8.0264186285219363E-3</v>
      </c>
      <c r="AP1741" s="331">
        <f>Tab1SDataShiftSummary[[#This Row],[Summary14]]-Tab1SDataShiftSummary[[#This Row],[Summary13]]</f>
        <v>-9.4016295052599119E-3</v>
      </c>
      <c r="AQ1741" s="331">
        <f>Tab1SDataShiftSummary[[#This Row],[Summary15]]-Tab1SDataShiftSummary[[#This Row],[Summary14]]</f>
        <v>-4.9730834172035943E-3</v>
      </c>
      <c r="AR1741" s="331">
        <f>Tab1SDataShiftSummary[[#This Row],[Summary16]]-Tab1SDataShiftSummary[[#This Row],[Summary15]]</f>
        <v>-4.2913177178721673E-3</v>
      </c>
      <c r="AS1741" s="331">
        <f>Tab1SDataShiftSummary[[#This Row],[Summary17]]-Tab1SDataShiftSummary[[#This Row],[Summary16]]</f>
        <v>-8.5032705731252767E-4</v>
      </c>
      <c r="AT1741" s="331">
        <f>Tab1SDataShiftSummary[[#This Row],[Summary18]]-Tab1SDataShiftSummary[[#This Row],[Summary17]]</f>
        <v>-5.1831434414826294E-3</v>
      </c>
      <c r="AU1741" s="331">
        <f>Tab1SDataShiftSummary[[#This Row],[Summary19]]-Tab1SDataShiftSummary[[#This Row],[Summary18]]</f>
        <v>4.7428730374151629E-3</v>
      </c>
      <c r="AV1741" s="331">
        <f ca="1">Tab1SDataShiftSummary[[#This Row],[Summary20]]-Tab1SDataShiftSummary[[#This Row],[Summary19]]</f>
        <v>0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33211650.329999998</v>
      </c>
      <c r="G1744" s="792">
        <v>33347267.795000002</v>
      </c>
      <c r="H1744" s="792">
        <v>33371105.467599995</v>
      </c>
      <c r="I1744" s="792">
        <v>32791789.226999998</v>
      </c>
      <c r="J1744" s="792">
        <v>32791789.226999998</v>
      </c>
      <c r="K1744" s="792">
        <v>32550613.43</v>
      </c>
      <c r="L1744" s="792">
        <v>31956694.420000002</v>
      </c>
      <c r="M1744" s="792">
        <v>31926966.519999996</v>
      </c>
      <c r="N1744" s="792">
        <v>32062212.449999996</v>
      </c>
      <c r="O1744" s="792">
        <v>31533710.974399999</v>
      </c>
      <c r="P1744" s="792">
        <v>31299991.079999998</v>
      </c>
      <c r="Q1744" s="792">
        <v>31261492.648699999</v>
      </c>
      <c r="R1744" s="792">
        <v>31674790.350000001</v>
      </c>
      <c r="S1744" s="792">
        <v>31633983.499999993</v>
      </c>
      <c r="T1744" s="792">
        <v>31938241.41</v>
      </c>
      <c r="U1744" s="792">
        <v>31907682.064999998</v>
      </c>
      <c r="V1744" s="792">
        <v>31968600.030000001</v>
      </c>
      <c r="W1744" s="792">
        <v>32156414.195</v>
      </c>
      <c r="X1744" s="792">
        <v>32113570.179999996</v>
      </c>
      <c r="Y1744" s="792">
        <v>31956383.674999997</v>
      </c>
      <c r="Z1744" s="792">
        <f t="shared" ref="Z1744:Z1753" ca="1" si="130">Z1704+Z1724</f>
        <v>31956383.674999997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-63538801.946390986</v>
      </c>
      <c r="G1745" s="983">
        <v>-63699441.046390995</v>
      </c>
      <c r="H1745" s="983">
        <v>-63699441.046390988</v>
      </c>
      <c r="I1745" s="983">
        <v>-63699441.046390988</v>
      </c>
      <c r="J1745" s="983">
        <v>-63699441.046390988</v>
      </c>
      <c r="K1745" s="983">
        <v>-63699441.046390995</v>
      </c>
      <c r="L1745" s="983">
        <v>-63699441.046390988</v>
      </c>
      <c r="M1745" s="983">
        <v>-63699441.046390988</v>
      </c>
      <c r="N1745" s="983">
        <v>-63712941.046390988</v>
      </c>
      <c r="O1745" s="983">
        <v>-63712941.046390988</v>
      </c>
      <c r="P1745" s="983">
        <v>-63757279.846391</v>
      </c>
      <c r="Q1745" s="983">
        <v>-64200127.863390982</v>
      </c>
      <c r="R1745" s="983">
        <v>-64200127.863390982</v>
      </c>
      <c r="S1745" s="983">
        <v>-64200127.863390982</v>
      </c>
      <c r="T1745" s="983">
        <v>-64200127.863390982</v>
      </c>
      <c r="U1745" s="983">
        <v>-63969761.382920608</v>
      </c>
      <c r="V1745" s="983">
        <v>-63969761.382920608</v>
      </c>
      <c r="W1745" s="983">
        <v>-64345539.355490617</v>
      </c>
      <c r="X1745" s="983">
        <v>-64345539.35549061</v>
      </c>
      <c r="Y1745" s="983">
        <v>-64334435.93361561</v>
      </c>
      <c r="Z1745" s="983">
        <f t="shared" ca="1" si="130"/>
        <v>-64334435.93361561</v>
      </c>
      <c r="AB1745" s="102">
        <f ca="1">Tab1SDataShiftSummary[[#This Row],[Summary0]]-Tab1SDataShiftSummary[[#This Row],[Summary20]]</f>
        <v>795633.98722462356</v>
      </c>
      <c r="AC1745" s="102">
        <f>Tab1SDataShiftSummary[[#This Row],[Summary1]]-Tab1SDataShiftSummary[[#This Row],[Summary0]]</f>
        <v>-160639.10000000894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-13500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-44338.800000011921</v>
      </c>
      <c r="AM1745" s="102">
        <f>Tab1SDataShiftSummary[[#This Row],[Summary11]]-Tab1SDataShiftSummary[[#This Row],[Summary10]]</f>
        <v>-442848.0169999823</v>
      </c>
      <c r="AN1745" s="102">
        <f>Tab1SDataShiftSummary[[#This Row],[Summary12]]-Tab1SDataShiftSummary[[#This Row],[Summary11]]</f>
        <v>0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230366.48047037423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-375777.97257000953</v>
      </c>
      <c r="AT1745" s="102">
        <f>Tab1SDataShiftSummary[[#This Row],[Summary18]]-Tab1SDataShiftSummary[[#This Row],[Summary17]]</f>
        <v>0</v>
      </c>
      <c r="AU1745" s="102">
        <f>Tab1SDataShiftSummary[[#This Row],[Summary19]]-Tab1SDataShiftSummary[[#This Row],[Summary18]]</f>
        <v>11103.421875</v>
      </c>
      <c r="AV1745" s="102">
        <f ca="1">Tab1SDataShiftSummary[[#This Row],[Summary20]]-Tab1SDataShiftSummary[[#This Row],[Summary19]]</f>
        <v>0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-11911129.903873</v>
      </c>
      <c r="G1746" s="792">
        <v>-11954179.903873</v>
      </c>
      <c r="H1746" s="792">
        <v>-11954179.903873</v>
      </c>
      <c r="I1746" s="792">
        <v>-11787114.111873001</v>
      </c>
      <c r="J1746" s="792">
        <v>-11787114.111873001</v>
      </c>
      <c r="K1746" s="792">
        <v>-11787114.111873001</v>
      </c>
      <c r="L1746" s="792">
        <v>-11104800.351873001</v>
      </c>
      <c r="M1746" s="792">
        <v>-11104800.351873001</v>
      </c>
      <c r="N1746" s="792">
        <v>-11118300.351873001</v>
      </c>
      <c r="O1746" s="792">
        <v>-11018524.321873002</v>
      </c>
      <c r="P1746" s="792">
        <v>-11018524.321873002</v>
      </c>
      <c r="Q1746" s="792">
        <v>-11406044.238873001</v>
      </c>
      <c r="R1746" s="792">
        <v>-11378184.238873001</v>
      </c>
      <c r="S1746" s="792">
        <v>-11378184.238873001</v>
      </c>
      <c r="T1746" s="792">
        <v>-11378184.238873001</v>
      </c>
      <c r="U1746" s="792">
        <v>-11210835.610602841</v>
      </c>
      <c r="V1746" s="792">
        <v>-11162265.610602841</v>
      </c>
      <c r="W1746" s="792">
        <v>-11194063.757627839</v>
      </c>
      <c r="X1746" s="792">
        <v>-11083960.256627839</v>
      </c>
      <c r="Y1746" s="792">
        <v>-11072829.006627839</v>
      </c>
      <c r="Z1746" s="792">
        <f t="shared" ca="1" si="130"/>
        <v>-11072829.006627839</v>
      </c>
      <c r="AB1746" s="102">
        <f ca="1">Tab1SDataShiftSummary[[#This Row],[Summary0]]-Tab1SDataShiftSummary[[#This Row],[Summary20]]</f>
        <v>-838300.89724516124</v>
      </c>
      <c r="AC1746" s="102">
        <f>Tab1SDataShiftSummary[[#This Row],[Summary1]]-Tab1SDataShiftSummary[[#This Row],[Summary0]]</f>
        <v>-43050</v>
      </c>
      <c r="AD1746" s="102">
        <f>Tab1SDataShiftSummary[[#This Row],[Summary2]]-Tab1SDataShiftSummary[[#This Row],[Summary1]]</f>
        <v>0</v>
      </c>
      <c r="AE1746" s="102">
        <f>Tab1SDataShiftSummary[[#This Row],[Summary3]]-Tab1SDataShiftSummary[[#This Row],[Summary2]]</f>
        <v>167065.79199999943</v>
      </c>
      <c r="AF1746" s="102">
        <f>Tab1SDataShiftSummary[[#This Row],[Summary4]]-Tab1SDataShiftSummary[[#This Row],[Summary3]]</f>
        <v>0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682313.75999999978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-13500</v>
      </c>
      <c r="AK1746" s="102">
        <f>Tab1SDataShiftSummary[[#This Row],[Summary9]]-Tab1SDataShiftSummary[[#This Row],[Summary8]]</f>
        <v>99776.029999999329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-387519.91699999943</v>
      </c>
      <c r="AN1746" s="102">
        <f>Tab1SDataShiftSummary[[#This Row],[Summary12]]-Tab1SDataShiftSummary[[#This Row],[Summary11]]</f>
        <v>27860</v>
      </c>
      <c r="AO1746" s="102">
        <f>Tab1SDataShiftSummary[[#This Row],[Summary13]]-Tab1SDataShiftSummary[[#This Row],[Summary12]]</f>
        <v>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167348.62827016041</v>
      </c>
      <c r="AR1746" s="102">
        <f>Tab1SDataShiftSummary[[#This Row],[Summary16]]-Tab1SDataShiftSummary[[#This Row],[Summary15]]</f>
        <v>48570</v>
      </c>
      <c r="AS1746" s="102">
        <f>Tab1SDataShiftSummary[[#This Row],[Summary17]]-Tab1SDataShiftSummary[[#This Row],[Summary16]]</f>
        <v>-31798.147024998441</v>
      </c>
      <c r="AT1746" s="102">
        <f>Tab1SDataShiftSummary[[#This Row],[Summary18]]-Tab1SDataShiftSummary[[#This Row],[Summary17]]</f>
        <v>110103.50100000016</v>
      </c>
      <c r="AU1746" s="102">
        <f>Tab1SDataShiftSummary[[#This Row],[Summary19]]-Tab1SDataShiftSummary[[#This Row],[Summary18]]</f>
        <v>11131.25</v>
      </c>
      <c r="AV1746" s="102">
        <f ca="1">Tab1SDataShiftSummary[[#This Row],[Summary20]]-Tab1SDataShiftSummary[[#This Row],[Summary19]]</f>
        <v>0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8178696.773236284</v>
      </c>
      <c r="G1747" s="953">
        <v>8314314.2382362867</v>
      </c>
      <c r="H1747" s="953">
        <v>8338151.9108362831</v>
      </c>
      <c r="I1747" s="953">
        <v>7758835.670236283</v>
      </c>
      <c r="J1747" s="953">
        <v>7758835.670236283</v>
      </c>
      <c r="K1747" s="792">
        <v>7517659.8732362865</v>
      </c>
      <c r="L1747" s="792">
        <v>6923740.8632362848</v>
      </c>
      <c r="M1747" s="792">
        <v>6894012.9632362854</v>
      </c>
      <c r="N1747" s="792">
        <v>7029258.8932362832</v>
      </c>
      <c r="O1747" s="792">
        <v>6500757.4176362902</v>
      </c>
      <c r="P1747" s="792">
        <v>6267037.523236285</v>
      </c>
      <c r="Q1747" s="792">
        <v>6228539.0919362837</v>
      </c>
      <c r="R1747" s="792">
        <v>6641836.7932362827</v>
      </c>
      <c r="S1747" s="792">
        <v>6601029.9432362849</v>
      </c>
      <c r="T1747" s="792">
        <v>6905287.8532362822</v>
      </c>
      <c r="U1747" s="792">
        <v>6874728.5082362834</v>
      </c>
      <c r="V1747" s="792">
        <v>6935646.4732362833</v>
      </c>
      <c r="W1747" s="792">
        <v>7123460.6382362843</v>
      </c>
      <c r="X1747" s="792">
        <v>7080616.6232362837</v>
      </c>
      <c r="Y1747" s="792">
        <v>6923430.1182362828</v>
      </c>
      <c r="Z1747" s="792">
        <f t="shared" ca="1" si="130"/>
        <v>6923430.1182362828</v>
      </c>
      <c r="AB1747" s="102">
        <f ca="1">Tab1SDataShiftSummary[[#This Row],[Summary0]]-Tab1SDataShiftSummary[[#This Row],[Summary20]]</f>
        <v>1255266.6550000012</v>
      </c>
      <c r="AC1747" s="102">
        <f>Tab1SDataShiftSummary[[#This Row],[Summary1]]-Tab1SDataShiftSummary[[#This Row],[Summary0]]</f>
        <v>135617.46500000264</v>
      </c>
      <c r="AD1747" s="102">
        <f>Tab1SDataShiftSummary[[#This Row],[Summary2]]-Tab1SDataShiftSummary[[#This Row],[Summary1]]</f>
        <v>23837.67259999644</v>
      </c>
      <c r="AE1747" s="102">
        <f>Tab1SDataShiftSummary[[#This Row],[Summary3]]-Tab1SDataShiftSummary[[#This Row],[Summary2]]</f>
        <v>-579316.24060000014</v>
      </c>
      <c r="AF1747" s="102">
        <f>Tab1SDataShiftSummary[[#This Row],[Summary4]]-Tab1SDataShiftSummary[[#This Row],[Summary3]]</f>
        <v>0</v>
      </c>
      <c r="AG1747" s="102">
        <f>Tab1SDataShiftSummary[[#This Row],[Summary5]]-Tab1SDataShiftSummary[[#This Row],[Summary4]]</f>
        <v>-241175.79699999653</v>
      </c>
      <c r="AH1747" s="102">
        <f>Tab1SDataShiftSummary[[#This Row],[Summary6]]-Tab1SDataShiftSummary[[#This Row],[Summary5]]</f>
        <v>-593919.01000000164</v>
      </c>
      <c r="AI1747" s="102">
        <f>Tab1SDataShiftSummary[[#This Row],[Summary7]]-Tab1SDataShiftSummary[[#This Row],[Summary6]]</f>
        <v>-29727.899999999441</v>
      </c>
      <c r="AJ1747" s="102">
        <f>Tab1SDataShiftSummary[[#This Row],[Summary8]]-Tab1SDataShiftSummary[[#This Row],[Summary7]]</f>
        <v>135245.92999999784</v>
      </c>
      <c r="AK1747" s="102">
        <f>Tab1SDataShiftSummary[[#This Row],[Summary9]]-Tab1SDataShiftSummary[[#This Row],[Summary8]]</f>
        <v>-528501.47559999302</v>
      </c>
      <c r="AL1747" s="102">
        <f>Tab1SDataShiftSummary[[#This Row],[Summary10]]-Tab1SDataShiftSummary[[#This Row],[Summary9]]</f>
        <v>-233719.89440000523</v>
      </c>
      <c r="AM1747" s="102">
        <f>Tab1SDataShiftSummary[[#This Row],[Summary11]]-Tab1SDataShiftSummary[[#This Row],[Summary10]]</f>
        <v>-38498.431300001219</v>
      </c>
      <c r="AN1747" s="102">
        <f>Tab1SDataShiftSummary[[#This Row],[Summary12]]-Tab1SDataShiftSummary[[#This Row],[Summary11]]</f>
        <v>413297.70129999891</v>
      </c>
      <c r="AO1747" s="102">
        <f>Tab1SDataShiftSummary[[#This Row],[Summary13]]-Tab1SDataShiftSummary[[#This Row],[Summary12]]</f>
        <v>-40806.849999997765</v>
      </c>
      <c r="AP1747" s="102">
        <f>Tab1SDataShiftSummary[[#This Row],[Summary14]]-Tab1SDataShiftSummary[[#This Row],[Summary13]]</f>
        <v>304257.90999999736</v>
      </c>
      <c r="AQ1747" s="102">
        <f>Tab1SDataShiftSummary[[#This Row],[Summary15]]-Tab1SDataShiftSummary[[#This Row],[Summary14]]</f>
        <v>-30559.344999998808</v>
      </c>
      <c r="AR1747" s="102">
        <f>Tab1SDataShiftSummary[[#This Row],[Summary16]]-Tab1SDataShiftSummary[[#This Row],[Summary15]]</f>
        <v>60917.964999999851</v>
      </c>
      <c r="AS1747" s="102">
        <f>Tab1SDataShiftSummary[[#This Row],[Summary17]]-Tab1SDataShiftSummary[[#This Row],[Summary16]]</f>
        <v>187814.16500000097</v>
      </c>
      <c r="AT1747" s="102">
        <f>Tab1SDataShiftSummary[[#This Row],[Summary18]]-Tab1SDataShiftSummary[[#This Row],[Summary17]]</f>
        <v>-42844.015000000596</v>
      </c>
      <c r="AU1747" s="102">
        <f>Tab1SDataShiftSummary[[#This Row],[Summary19]]-Tab1SDataShiftSummary[[#This Row],[Summary18]]</f>
        <v>-157186.50500000082</v>
      </c>
      <c r="AV1747" s="102">
        <f ca="1">Tab1SDataShiftSummary[[#This Row],[Summary20]]-Tab1SDataShiftSummary[[#This Row],[Summary19]]</f>
        <v>0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-88571755.503154725</v>
      </c>
      <c r="G1748" s="984">
        <v>-88732394.603154734</v>
      </c>
      <c r="H1748" s="984">
        <v>-88732394.603154719</v>
      </c>
      <c r="I1748" s="984">
        <v>-88732394.603154719</v>
      </c>
      <c r="J1748" s="984">
        <v>-88732394.603154719</v>
      </c>
      <c r="K1748" s="792">
        <v>-88732394.603154734</v>
      </c>
      <c r="L1748" s="792">
        <v>-88732394.603154734</v>
      </c>
      <c r="M1748" s="792">
        <v>-88732394.603154719</v>
      </c>
      <c r="N1748" s="792">
        <v>-88745894.603154719</v>
      </c>
      <c r="O1748" s="792">
        <v>-88745894.603154719</v>
      </c>
      <c r="P1748" s="792">
        <v>-88790233.403154731</v>
      </c>
      <c r="Q1748" s="792">
        <v>-89233081.420154721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-89002714.939684346</v>
      </c>
      <c r="V1748" s="792">
        <v>-89002714.939684346</v>
      </c>
      <c r="W1748" s="983">
        <v>-89378492.912254348</v>
      </c>
      <c r="X1748" s="983">
        <v>-89378492.912254333</v>
      </c>
      <c r="Y1748" s="983">
        <v>-89367389.490379348</v>
      </c>
      <c r="Z1748" s="983">
        <f t="shared" ca="1" si="130"/>
        <v>-89367389.490379348</v>
      </c>
      <c r="AB1748" s="102">
        <f ca="1">Tab1SDataShiftSummary[[#This Row],[Summary0]]-Tab1SDataShiftSummary[[#This Row],[Summary20]]</f>
        <v>795633.98722462356</v>
      </c>
      <c r="AC1748" s="102">
        <f>Tab1SDataShiftSummary[[#This Row],[Summary1]]-Tab1SDataShiftSummary[[#This Row],[Summary0]]</f>
        <v>-160639.10000000894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-13500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-44338.800000011921</v>
      </c>
      <c r="AM1748" s="102">
        <f>Tab1SDataShiftSummary[[#This Row],[Summary11]]-Tab1SDataShiftSummary[[#This Row],[Summary10]]</f>
        <v>-442848.01699998975</v>
      </c>
      <c r="AN1748" s="102">
        <f>Tab1SDataShiftSummary[[#This Row],[Summary12]]-Tab1SDataShiftSummary[[#This Row],[Summary11]]</f>
        <v>0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230366.48047037423</v>
      </c>
      <c r="AR1748" s="102">
        <f>Tab1SDataShiftSummary[[#This Row],[Summary16]]-Tab1SDataShiftSummary[[#This Row],[Summary15]]</f>
        <v>0</v>
      </c>
      <c r="AS1748" s="102">
        <f>Tab1SDataShiftSummary[[#This Row],[Summary17]]-Tab1SDataShiftSummary[[#This Row],[Summary16]]</f>
        <v>-375777.97257000208</v>
      </c>
      <c r="AT1748" s="102">
        <f>Tab1SDataShiftSummary[[#This Row],[Summary18]]-Tab1SDataShiftSummary[[#This Row],[Summary17]]</f>
        <v>0</v>
      </c>
      <c r="AU1748" s="102">
        <f>Tab1SDataShiftSummary[[#This Row],[Summary19]]-Tab1SDataShiftSummary[[#This Row],[Summary18]]</f>
        <v>11103.421874985099</v>
      </c>
      <c r="AV1748" s="102">
        <f ca="1">Tab1SDataShiftSummary[[#This Row],[Summary20]]-Tab1SDataShiftSummary[[#This Row],[Summary19]]</f>
        <v>0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-22886952.266754717</v>
      </c>
      <c r="G1749" s="792">
        <v>-23047591.366754718</v>
      </c>
      <c r="H1749" s="792">
        <v>-23047591.366754718</v>
      </c>
      <c r="I1749" s="792">
        <v>-22688211.366754718</v>
      </c>
      <c r="J1749" s="792">
        <v>-22688211.366754718</v>
      </c>
      <c r="K1749" s="792">
        <v>-22688211.366754718</v>
      </c>
      <c r="L1749" s="792">
        <v>-21877021.366754714</v>
      </c>
      <c r="M1749" s="792">
        <v>-21877021.366754718</v>
      </c>
      <c r="N1749" s="792">
        <v>-21746155.366754718</v>
      </c>
      <c r="O1749" s="792">
        <v>-21181395.366754714</v>
      </c>
      <c r="P1749" s="792">
        <v>-21187014.166754715</v>
      </c>
      <c r="Q1749" s="792">
        <v>-21722534.083754715</v>
      </c>
      <c r="R1749" s="792">
        <v>-21694674.083754715</v>
      </c>
      <c r="S1749" s="792">
        <v>-21694674.083754715</v>
      </c>
      <c r="T1749" s="792">
        <v>-21596605.283754714</v>
      </c>
      <c r="U1749" s="792">
        <v>-21422149.251754716</v>
      </c>
      <c r="V1749" s="792">
        <v>-21373579.251754716</v>
      </c>
      <c r="W1749" s="792">
        <v>-21718228.398754716</v>
      </c>
      <c r="X1749" s="792">
        <v>-21580060.398754716</v>
      </c>
      <c r="Y1749" s="792">
        <v>-21352171.648754716</v>
      </c>
      <c r="Z1749" s="792">
        <f t="shared" ca="1" si="130"/>
        <v>-21352171.648754716</v>
      </c>
      <c r="AB1749" s="102">
        <f ca="1">Tab1SDataShiftSummary[[#This Row],[Summary0]]-Tab1SDataShiftSummary[[#This Row],[Summary20]]</f>
        <v>-1534780.6180000007</v>
      </c>
      <c r="AC1749" s="102">
        <f>Tab1SDataShiftSummary[[#This Row],[Summary1]]-Tab1SDataShiftSummary[[#This Row],[Summary0]]</f>
        <v>-160639.10000000149</v>
      </c>
      <c r="AD1749" s="102">
        <f>Tab1SDataShiftSummary[[#This Row],[Summary2]]-Tab1SDataShiftSummary[[#This Row],[Summary1]]</f>
        <v>0</v>
      </c>
      <c r="AE1749" s="102">
        <f>Tab1SDataShiftSummary[[#This Row],[Summary3]]-Tab1SDataShiftSummary[[#This Row],[Summary2]]</f>
        <v>359380</v>
      </c>
      <c r="AF1749" s="102">
        <f>Tab1SDataShiftSummary[[#This Row],[Summary4]]-Tab1SDataShiftSummary[[#This Row],[Summary3]]</f>
        <v>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811190.00000000373</v>
      </c>
      <c r="AI1749" s="102">
        <f>Tab1SDataShiftSummary[[#This Row],[Summary7]]-Tab1SDataShiftSummary[[#This Row],[Summary6]]</f>
        <v>0</v>
      </c>
      <c r="AJ1749" s="102">
        <f>Tab1SDataShiftSummary[[#This Row],[Summary8]]-Tab1SDataShiftSummary[[#This Row],[Summary7]]</f>
        <v>130866</v>
      </c>
      <c r="AK1749" s="102">
        <f>Tab1SDataShiftSummary[[#This Row],[Summary9]]-Tab1SDataShiftSummary[[#This Row],[Summary8]]</f>
        <v>564760.00000000373</v>
      </c>
      <c r="AL1749" s="102">
        <f>Tab1SDataShiftSummary[[#This Row],[Summary10]]-Tab1SDataShiftSummary[[#This Row],[Summary9]]</f>
        <v>-5618.8000000007451</v>
      </c>
      <c r="AM1749" s="102">
        <f>Tab1SDataShiftSummary[[#This Row],[Summary11]]-Tab1SDataShiftSummary[[#This Row],[Summary10]]</f>
        <v>-535519.91699999943</v>
      </c>
      <c r="AN1749" s="102">
        <f>Tab1SDataShiftSummary[[#This Row],[Summary12]]-Tab1SDataShiftSummary[[#This Row],[Summary11]]</f>
        <v>27860</v>
      </c>
      <c r="AO1749" s="102">
        <f>Tab1SDataShiftSummary[[#This Row],[Summary13]]-Tab1SDataShiftSummary[[#This Row],[Summary12]]</f>
        <v>0</v>
      </c>
      <c r="AP1749" s="102">
        <f>Tab1SDataShiftSummary[[#This Row],[Summary14]]-Tab1SDataShiftSummary[[#This Row],[Summary13]]</f>
        <v>98068.800000000745</v>
      </c>
      <c r="AQ1749" s="102">
        <f>Tab1SDataShiftSummary[[#This Row],[Summary15]]-Tab1SDataShiftSummary[[#This Row],[Summary14]]</f>
        <v>174456.03199999779</v>
      </c>
      <c r="AR1749" s="102">
        <f>Tab1SDataShiftSummary[[#This Row],[Summary16]]-Tab1SDataShiftSummary[[#This Row],[Summary15]]</f>
        <v>48570</v>
      </c>
      <c r="AS1749" s="102">
        <f>Tab1SDataShiftSummary[[#This Row],[Summary17]]-Tab1SDataShiftSummary[[#This Row],[Summary16]]</f>
        <v>-344649.14699999988</v>
      </c>
      <c r="AT1749" s="102">
        <f>Tab1SDataShiftSummary[[#This Row],[Summary18]]-Tab1SDataShiftSummary[[#This Row],[Summary17]]</f>
        <v>138168</v>
      </c>
      <c r="AU1749" s="102">
        <f>Tab1SDataShiftSummary[[#This Row],[Summary19]]-Tab1SDataShiftSummary[[#This Row],[Summary18]]</f>
        <v>227888.75</v>
      </c>
      <c r="AV1749" s="102">
        <f ca="1">Tab1SDataShiftSummary[[#This Row],[Summary20]]-Tab1SDataShiftSummary[[#This Row],[Summary19]]</f>
        <v>0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65684803.236400008</v>
      </c>
      <c r="G1750" s="985">
        <v>65684803.236400008</v>
      </c>
      <c r="H1750" s="985">
        <v>65684803.236400016</v>
      </c>
      <c r="I1750" s="985">
        <v>66044183.236400016</v>
      </c>
      <c r="J1750" s="985">
        <v>66044183.236400016</v>
      </c>
      <c r="K1750" s="792">
        <v>66044183.236400008</v>
      </c>
      <c r="L1750" s="792">
        <v>66855373.236400008</v>
      </c>
      <c r="M1750" s="792">
        <v>66855373.236400008</v>
      </c>
      <c r="N1750" s="792">
        <v>66999739.236400008</v>
      </c>
      <c r="O1750" s="792">
        <v>67564499.236400008</v>
      </c>
      <c r="P1750" s="792">
        <v>67603219.236400008</v>
      </c>
      <c r="Q1750" s="792">
        <v>67510547.336400017</v>
      </c>
      <c r="R1750" s="792">
        <v>67538407.336400017</v>
      </c>
      <c r="S1750" s="792">
        <v>67538407.336400017</v>
      </c>
      <c r="T1750" s="792">
        <v>67636476.136400014</v>
      </c>
      <c r="U1750" s="792">
        <v>67634121.061059013</v>
      </c>
      <c r="V1750" s="792">
        <v>67682569.636059016</v>
      </c>
      <c r="W1750" s="983">
        <v>67714560.084496513</v>
      </c>
      <c r="X1750" s="983">
        <v>67852382.664496511</v>
      </c>
      <c r="Y1750" s="983">
        <v>68068598.270746514</v>
      </c>
      <c r="Z1750" s="983">
        <f t="shared" ca="1" si="130"/>
        <v>68068598.270746514</v>
      </c>
      <c r="AB1750" s="102">
        <f ca="1">Tab1SDataShiftSummary[[#This Row],[Summary0]]-Tab1SDataShiftSummary[[#This Row],[Summary20]]</f>
        <v>-2383795.034346506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359380</v>
      </c>
      <c r="AF1750" s="102">
        <f>Tab1SDataShiftSummary[[#This Row],[Summary4]]-Tab1SDataShiftSummary[[#This Row],[Summary3]]</f>
        <v>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811190</v>
      </c>
      <c r="AI1750" s="102">
        <f>Tab1SDataShiftSummary[[#This Row],[Summary7]]-Tab1SDataShiftSummary[[#This Row],[Summary6]]</f>
        <v>0</v>
      </c>
      <c r="AJ1750" s="102">
        <f>Tab1SDataShiftSummary[[#This Row],[Summary8]]-Tab1SDataShiftSummary[[#This Row],[Summary7]]</f>
        <v>144366</v>
      </c>
      <c r="AK1750" s="102">
        <f>Tab1SDataShiftSummary[[#This Row],[Summary9]]-Tab1SDataShiftSummary[[#This Row],[Summary8]]</f>
        <v>564760</v>
      </c>
      <c r="AL1750" s="102">
        <f>Tab1SDataShiftSummary[[#This Row],[Summary10]]-Tab1SDataShiftSummary[[#This Row],[Summary9]]</f>
        <v>38720</v>
      </c>
      <c r="AM1750" s="102">
        <f>Tab1SDataShiftSummary[[#This Row],[Summary11]]-Tab1SDataShiftSummary[[#This Row],[Summary10]]</f>
        <v>-92671.899999991059</v>
      </c>
      <c r="AN1750" s="102">
        <f>Tab1SDataShiftSummary[[#This Row],[Summary12]]-Tab1SDataShiftSummary[[#This Row],[Summary11]]</f>
        <v>27860</v>
      </c>
      <c r="AO1750" s="102">
        <f>Tab1SDataShiftSummary[[#This Row],[Summary13]]-Tab1SDataShiftSummary[[#This Row],[Summary12]]</f>
        <v>0</v>
      </c>
      <c r="AP1750" s="102">
        <f>Tab1SDataShiftSummary[[#This Row],[Summary14]]-Tab1SDataShiftSummary[[#This Row],[Summary13]]</f>
        <v>98068.79999999702</v>
      </c>
      <c r="AQ1750" s="102">
        <f>Tab1SDataShiftSummary[[#This Row],[Summary15]]-Tab1SDataShiftSummary[[#This Row],[Summary14]]</f>
        <v>-2355.075341001153</v>
      </c>
      <c r="AR1750" s="102">
        <f>Tab1SDataShiftSummary[[#This Row],[Summary16]]-Tab1SDataShiftSummary[[#This Row],[Summary15]]</f>
        <v>48448.57500000298</v>
      </c>
      <c r="AS1750" s="102">
        <f>Tab1SDataShiftSummary[[#This Row],[Summary17]]-Tab1SDataShiftSummary[[#This Row],[Summary16]]</f>
        <v>31990.44843749702</v>
      </c>
      <c r="AT1750" s="102">
        <f>Tab1SDataShiftSummary[[#This Row],[Summary18]]-Tab1SDataShiftSummary[[#This Row],[Summary17]]</f>
        <v>137822.57999999821</v>
      </c>
      <c r="AU1750" s="102">
        <f>Tab1SDataShiftSummary[[#This Row],[Summary19]]-Tab1SDataShiftSummary[[#This Row],[Summary18]]</f>
        <v>216215.60625000298</v>
      </c>
      <c r="AV1750" s="102">
        <f ca="1">Tab1SDataShiftSummary[[#This Row],[Summary20]]-Tab1SDataShiftSummary[[#This Row],[Summary19]]</f>
        <v>0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10324698.063245289</v>
      </c>
      <c r="G1751" s="792">
        <v>10299676.428245284</v>
      </c>
      <c r="H1751" s="792">
        <v>10323514.100845285</v>
      </c>
      <c r="I1751" s="792">
        <v>10103577.860245287</v>
      </c>
      <c r="J1751" s="792">
        <v>10103577.860245287</v>
      </c>
      <c r="K1751" s="792">
        <v>9862402.0632452872</v>
      </c>
      <c r="L1751" s="792">
        <v>10079673.053245286</v>
      </c>
      <c r="M1751" s="792">
        <v>10049945.153245287</v>
      </c>
      <c r="N1751" s="792">
        <v>10316057.083245287</v>
      </c>
      <c r="O1751" s="792">
        <v>10352315.607645284</v>
      </c>
      <c r="P1751" s="792">
        <v>10112976.913245281</v>
      </c>
      <c r="Q1751" s="792">
        <v>9538958.5649452843</v>
      </c>
      <c r="R1751" s="792">
        <v>9980116.2662452832</v>
      </c>
      <c r="S1751" s="792">
        <v>9939309.4162452854</v>
      </c>
      <c r="T1751" s="792">
        <v>10341636.126245283</v>
      </c>
      <c r="U1751" s="792">
        <v>10485532.813245285</v>
      </c>
      <c r="V1751" s="792">
        <v>10595020.778245289</v>
      </c>
      <c r="W1751" s="792">
        <v>10438185.796245284</v>
      </c>
      <c r="X1751" s="792">
        <v>10533509.781245284</v>
      </c>
      <c r="Y1751" s="792">
        <v>10604212.026245285</v>
      </c>
      <c r="Z1751" s="792">
        <f t="shared" ca="1" si="130"/>
        <v>10604212.026245285</v>
      </c>
      <c r="AB1751" s="102">
        <f ca="1">Tab1SDataShiftSummary[[#This Row],[Summary0]]-Tab1SDataShiftSummary[[#This Row],[Summary20]]</f>
        <v>-279513.9629999958</v>
      </c>
      <c r="AC1751" s="102">
        <f>Tab1SDataShiftSummary[[#This Row],[Summary1]]-Tab1SDataShiftSummary[[#This Row],[Summary0]]</f>
        <v>-25021.635000005364</v>
      </c>
      <c r="AD1751" s="102">
        <f>Tab1SDataShiftSummary[[#This Row],[Summary2]]-Tab1SDataShiftSummary[[#This Row],[Summary1]]</f>
        <v>23837.672600001097</v>
      </c>
      <c r="AE1751" s="102">
        <f>Tab1SDataShiftSummary[[#This Row],[Summary3]]-Tab1SDataShiftSummary[[#This Row],[Summary2]]</f>
        <v>-219936.24059999734</v>
      </c>
      <c r="AF1751" s="102">
        <f>Tab1SDataShiftSummary[[#This Row],[Summary4]]-Tab1SDataShiftSummary[[#This Row],[Summary3]]</f>
        <v>0</v>
      </c>
      <c r="AG1751" s="102">
        <f>Tab1SDataShiftSummary[[#This Row],[Summary5]]-Tab1SDataShiftSummary[[#This Row],[Summary4]]</f>
        <v>-241175.79700000025</v>
      </c>
      <c r="AH1751" s="102">
        <f>Tab1SDataShiftSummary[[#This Row],[Summary6]]-Tab1SDataShiftSummary[[#This Row],[Summary5]]</f>
        <v>217270.98999999836</v>
      </c>
      <c r="AI1751" s="102">
        <f>Tab1SDataShiftSummary[[#This Row],[Summary7]]-Tab1SDataShiftSummary[[#This Row],[Summary6]]</f>
        <v>-29727.89999999851</v>
      </c>
      <c r="AJ1751" s="102">
        <f>Tab1SDataShiftSummary[[#This Row],[Summary8]]-Tab1SDataShiftSummary[[#This Row],[Summary7]]</f>
        <v>266111.9299999997</v>
      </c>
      <c r="AK1751" s="102">
        <f>Tab1SDataShiftSummary[[#This Row],[Summary9]]-Tab1SDataShiftSummary[[#This Row],[Summary8]]</f>
        <v>36258.524399997666</v>
      </c>
      <c r="AL1751" s="102">
        <f>Tab1SDataShiftSummary[[#This Row],[Summary10]]-Tab1SDataShiftSummary[[#This Row],[Summary9]]</f>
        <v>-239338.69440000318</v>
      </c>
      <c r="AM1751" s="102">
        <f>Tab1SDataShiftSummary[[#This Row],[Summary11]]-Tab1SDataShiftSummary[[#This Row],[Summary10]]</f>
        <v>-574018.34829999693</v>
      </c>
      <c r="AN1751" s="102">
        <f>Tab1SDataShiftSummary[[#This Row],[Summary12]]-Tab1SDataShiftSummary[[#This Row],[Summary11]]</f>
        <v>441157.70129999891</v>
      </c>
      <c r="AO1751" s="102">
        <f>Tab1SDataShiftSummary[[#This Row],[Summary13]]-Tab1SDataShiftSummary[[#This Row],[Summary12]]</f>
        <v>-40806.849999997765</v>
      </c>
      <c r="AP1751" s="102">
        <f>Tab1SDataShiftSummary[[#This Row],[Summary14]]-Tab1SDataShiftSummary[[#This Row],[Summary13]]</f>
        <v>402326.70999999717</v>
      </c>
      <c r="AQ1751" s="102">
        <f>Tab1SDataShiftSummary[[#This Row],[Summary15]]-Tab1SDataShiftSummary[[#This Row],[Summary14]]</f>
        <v>143896.68700000271</v>
      </c>
      <c r="AR1751" s="102">
        <f>Tab1SDataShiftSummary[[#This Row],[Summary16]]-Tab1SDataShiftSummary[[#This Row],[Summary15]]</f>
        <v>109487.96500000358</v>
      </c>
      <c r="AS1751" s="102">
        <f>Tab1SDataShiftSummary[[#This Row],[Summary17]]-Tab1SDataShiftSummary[[#This Row],[Summary16]]</f>
        <v>-156834.9820000045</v>
      </c>
      <c r="AT1751" s="102">
        <f>Tab1SDataShiftSummary[[#This Row],[Summary18]]-Tab1SDataShiftSummary[[#This Row],[Summary17]]</f>
        <v>95323.984999999404</v>
      </c>
      <c r="AU1751" s="102">
        <f>Tab1SDataShiftSummary[[#This Row],[Summary19]]-Tab1SDataShiftSummary[[#This Row],[Summary18]]</f>
        <v>70702.245000001043</v>
      </c>
      <c r="AV1751" s="102">
        <f ca="1">Tab1SDataShiftSummary[[#This Row],[Summary20]]-Tab1SDataShiftSummary[[#This Row],[Summary19]]</f>
        <v>0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11732457.665308001</v>
      </c>
      <c r="G1752" s="792">
        <v>11736800.725307999</v>
      </c>
      <c r="H1752" s="792">
        <v>11307480.723199999</v>
      </c>
      <c r="I1752" s="792">
        <v>10783537.618200002</v>
      </c>
      <c r="J1752" s="792">
        <v>10783537.618200002</v>
      </c>
      <c r="K1752" s="792">
        <v>10786666.4462</v>
      </c>
      <c r="L1752" s="792">
        <v>10830003.121182</v>
      </c>
      <c r="M1752" s="792">
        <v>10767822.561800001</v>
      </c>
      <c r="N1752" s="792">
        <v>11498804.098782001</v>
      </c>
      <c r="O1752" s="792">
        <v>11091532.721007997</v>
      </c>
      <c r="P1752" s="792">
        <v>11026540.265799997</v>
      </c>
      <c r="Q1752" s="792">
        <v>10932424.037800001</v>
      </c>
      <c r="R1752" s="792">
        <v>11039148.975799998</v>
      </c>
      <c r="S1752" s="792">
        <v>11058181.8258</v>
      </c>
      <c r="T1752" s="792">
        <v>11178672.791007999</v>
      </c>
      <c r="U1752" s="792">
        <v>11893113.623008002</v>
      </c>
      <c r="V1752" s="792">
        <v>11935634.963008001</v>
      </c>
      <c r="W1752" s="792">
        <v>11934805.281008</v>
      </c>
      <c r="X1752" s="792">
        <v>11994549.565990001</v>
      </c>
      <c r="Y1752" s="792">
        <v>12072772.370990001</v>
      </c>
      <c r="Z1752" s="792">
        <f t="shared" ca="1" si="130"/>
        <v>12072772.370990001</v>
      </c>
      <c r="AB1752" s="102">
        <f ca="1">Tab1SDataShiftSummary[[#This Row],[Summary0]]-Tab1SDataShiftSummary[[#This Row],[Summary20]]</f>
        <v>-340314.70568200015</v>
      </c>
      <c r="AC1752" s="102">
        <f>Tab1SDataShiftSummary[[#This Row],[Summary1]]-Tab1SDataShiftSummary[[#This Row],[Summary0]]</f>
        <v>4343.0599999986589</v>
      </c>
      <c r="AD1752" s="102">
        <f>Tab1SDataShiftSummary[[#This Row],[Summary2]]-Tab1SDataShiftSummary[[#This Row],[Summary1]]</f>
        <v>-429320.00210800022</v>
      </c>
      <c r="AE1752" s="102">
        <f>Tab1SDataShiftSummary[[#This Row],[Summary3]]-Tab1SDataShiftSummary[[#This Row],[Summary2]]</f>
        <v>-523943.10499999672</v>
      </c>
      <c r="AF1752" s="102">
        <f>Tab1SDataShiftSummary[[#This Row],[Summary4]]-Tab1SDataShiftSummary[[#This Row],[Summary3]]</f>
        <v>0</v>
      </c>
      <c r="AG1752" s="102">
        <f>Tab1SDataShiftSummary[[#This Row],[Summary5]]-Tab1SDataShiftSummary[[#This Row],[Summary4]]</f>
        <v>3128.827999997884</v>
      </c>
      <c r="AH1752" s="102">
        <f>Tab1SDataShiftSummary[[#This Row],[Summary6]]-Tab1SDataShiftSummary[[#This Row],[Summary5]]</f>
        <v>43336.674982000142</v>
      </c>
      <c r="AI1752" s="102">
        <f>Tab1SDataShiftSummary[[#This Row],[Summary7]]-Tab1SDataShiftSummary[[#This Row],[Summary6]]</f>
        <v>-62180.559381999075</v>
      </c>
      <c r="AJ1752" s="102">
        <f>Tab1SDataShiftSummary[[#This Row],[Summary8]]-Tab1SDataShiftSummary[[#This Row],[Summary7]]</f>
        <v>730981.53698199987</v>
      </c>
      <c r="AK1752" s="102">
        <f>Tab1SDataShiftSummary[[#This Row],[Summary9]]-Tab1SDataShiftSummary[[#This Row],[Summary8]]</f>
        <v>-407271.37777400389</v>
      </c>
      <c r="AL1752" s="102">
        <f>Tab1SDataShiftSummary[[#This Row],[Summary10]]-Tab1SDataShiftSummary[[#This Row],[Summary9]]</f>
        <v>-64992.455207999796</v>
      </c>
      <c r="AM1752" s="102">
        <f>Tab1SDataShiftSummary[[#This Row],[Summary11]]-Tab1SDataShiftSummary[[#This Row],[Summary10]]</f>
        <v>-94116.227999996394</v>
      </c>
      <c r="AN1752" s="102">
        <f>Tab1SDataShiftSummary[[#This Row],[Summary12]]-Tab1SDataShiftSummary[[#This Row],[Summary11]]</f>
        <v>106724.93799999729</v>
      </c>
      <c r="AO1752" s="102">
        <f>Tab1SDataShiftSummary[[#This Row],[Summary13]]-Tab1SDataShiftSummary[[#This Row],[Summary12]]</f>
        <v>19032.85000000149</v>
      </c>
      <c r="AP1752" s="102">
        <f>Tab1SDataShiftSummary[[#This Row],[Summary14]]-Tab1SDataShiftSummary[[#This Row],[Summary13]]</f>
        <v>120490.96520799957</v>
      </c>
      <c r="AQ1752" s="102">
        <f>Tab1SDataShiftSummary[[#This Row],[Summary15]]-Tab1SDataShiftSummary[[#This Row],[Summary14]]</f>
        <v>714440.83200000226</v>
      </c>
      <c r="AR1752" s="102">
        <f>Tab1SDataShiftSummary[[#This Row],[Summary16]]-Tab1SDataShiftSummary[[#This Row],[Summary15]]</f>
        <v>42521.339999999851</v>
      </c>
      <c r="AS1752" s="102">
        <f>Tab1SDataShiftSummary[[#This Row],[Summary17]]-Tab1SDataShiftSummary[[#This Row],[Summary16]]</f>
        <v>-829.68200000189245</v>
      </c>
      <c r="AT1752" s="102">
        <f>Tab1SDataShiftSummary[[#This Row],[Summary18]]-Tab1SDataShiftSummary[[#This Row],[Summary17]]</f>
        <v>59744.284982001409</v>
      </c>
      <c r="AU1752" s="102">
        <f>Tab1SDataShiftSummary[[#This Row],[Summary19]]-Tab1SDataShiftSummary[[#This Row],[Summary18]]</f>
        <v>78222.804999999702</v>
      </c>
      <c r="AV1752" s="102">
        <f ca="1">Tab1SDataShiftSummary[[#This Row],[Summary20]]-Tab1SDataShiftSummary[[#This Row],[Summary19]]</f>
        <v>0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-230286.56430820227</v>
      </c>
      <c r="G1753" s="792">
        <v>-230704.22596820229</v>
      </c>
      <c r="H1753" s="792">
        <v>-221830.98650788682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-221830.98650788685</v>
      </c>
      <c r="M1753" s="792">
        <v>-221830.98650788682</v>
      </c>
      <c r="N1753" s="792">
        <v>-221864.73650788682</v>
      </c>
      <c r="O1753" s="792">
        <v>-221864.73650788682</v>
      </c>
      <c r="P1753" s="792">
        <v>-221975.5835078868</v>
      </c>
      <c r="Q1753" s="792">
        <v>-223082.70355038682</v>
      </c>
      <c r="R1753" s="792">
        <v>-223082.70355038682</v>
      </c>
      <c r="S1753" s="792">
        <v>-223082.70355038682</v>
      </c>
      <c r="T1753" s="792">
        <v>-223082.70355038682</v>
      </c>
      <c r="U1753" s="792">
        <v>-391592.09000185836</v>
      </c>
      <c r="V1753" s="792">
        <v>-391713.21143935842</v>
      </c>
      <c r="W1753" s="792">
        <v>-392732.63249187719</v>
      </c>
      <c r="X1753" s="792">
        <v>-393077.18894187716</v>
      </c>
      <c r="Y1753" s="792">
        <v>-393589.96940281463</v>
      </c>
      <c r="Z1753" s="792">
        <f t="shared" ca="1" si="130"/>
        <v>-393589.96940281463</v>
      </c>
      <c r="AB1753" s="102">
        <f ca="1">Tab1SDataShiftSummary[[#This Row],[Summary0]]-Tab1SDataShiftSummary[[#This Row],[Summary20]]</f>
        <v>163303.40509461236</v>
      </c>
      <c r="AC1753" s="102">
        <f>Tab1SDataShiftSummary[[#This Row],[Summary1]]-Tab1SDataShiftSummary[[#This Row],[Summary0]]</f>
        <v>-417.66166000001249</v>
      </c>
      <c r="AD1753" s="102">
        <f>Tab1SDataShiftSummary[[#This Row],[Summary2]]-Tab1SDataShiftSummary[[#This Row],[Summary1]]</f>
        <v>8873.239460315468</v>
      </c>
      <c r="AE1753" s="102">
        <f>Tab1SDataShiftSummary[[#This Row],[Summary3]]-Tab1SDataShiftSummary[[#This Row],[Summary2]]</f>
        <v>0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-33.75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-110.84699999997974</v>
      </c>
      <c r="AM1753" s="102">
        <f>Tab1SDataShiftSummary[[#This Row],[Summary11]]-Tab1SDataShiftSummary[[#This Row],[Summary10]]</f>
        <v>-1107.1200425000279</v>
      </c>
      <c r="AN1753" s="102">
        <f>Tab1SDataShiftSummary[[#This Row],[Summary12]]-Tab1SDataShiftSummary[[#This Row],[Summary11]]</f>
        <v>0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-168509.38645147154</v>
      </c>
      <c r="AR1753" s="102">
        <f>Tab1SDataShiftSummary[[#This Row],[Summary16]]-Tab1SDataShiftSummary[[#This Row],[Summary15]]</f>
        <v>-121.12143750005635</v>
      </c>
      <c r="AS1753" s="102">
        <f>Tab1SDataShiftSummary[[#This Row],[Summary17]]-Tab1SDataShiftSummary[[#This Row],[Summary16]]</f>
        <v>-1019.4210525187664</v>
      </c>
      <c r="AT1753" s="102">
        <f>Tab1SDataShiftSummary[[#This Row],[Summary18]]-Tab1SDataShiftSummary[[#This Row],[Summary17]]</f>
        <v>-344.55644999997457</v>
      </c>
      <c r="AU1753" s="102">
        <f>Tab1SDataShiftSummary[[#This Row],[Summary19]]-Tab1SDataShiftSummary[[#This Row],[Summary18]]</f>
        <v>-512.78046093747253</v>
      </c>
      <c r="AV1753" s="102">
        <f ca="1">Tab1SDataShiftSummary[[#This Row],[Summary20]]-Tab1SDataShiftSummary[[#This Row],[Summary19]]</f>
        <v>0</v>
      </c>
      <c r="AY1753" s="786" t="s">
        <v>1980</v>
      </c>
      <c r="BA1753" s="1139" t="s">
        <v>2551</v>
      </c>
      <c r="BE1753" s="1139" t="s">
        <v>2605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2146001.2900090218</v>
      </c>
      <c r="G1754" s="792">
        <v>1985362.1900090128</v>
      </c>
      <c r="H1754" s="792">
        <v>1985362.1900090277</v>
      </c>
      <c r="I1754" s="792">
        <v>2344742.1900090277</v>
      </c>
      <c r="J1754" s="792">
        <v>2344742.1900090277</v>
      </c>
      <c r="K1754" s="792">
        <v>2344742.1900090128</v>
      </c>
      <c r="L1754" s="792">
        <v>3155932.1900090203</v>
      </c>
      <c r="M1754" s="792">
        <v>3155932.1900090203</v>
      </c>
      <c r="N1754" s="792">
        <v>3286798.1900090203</v>
      </c>
      <c r="O1754" s="792">
        <v>3851558.1900090203</v>
      </c>
      <c r="P1754" s="792">
        <v>3845939.3900090083</v>
      </c>
      <c r="Q1754" s="792">
        <v>3310419.473009035</v>
      </c>
      <c r="R1754" s="792">
        <v>3338279.473009035</v>
      </c>
      <c r="S1754" s="792">
        <v>3338279.473009035</v>
      </c>
      <c r="T1754" s="792">
        <v>3436348.273009032</v>
      </c>
      <c r="U1754" s="792">
        <v>3664359.6781384051</v>
      </c>
      <c r="V1754" s="792">
        <v>3712808.2531384081</v>
      </c>
      <c r="W1754" s="792">
        <v>3369020.7290058956</v>
      </c>
      <c r="X1754" s="792">
        <v>3506843.3090059012</v>
      </c>
      <c r="Y1754" s="792">
        <v>3734162.3371309042</v>
      </c>
      <c r="Z1754" s="792">
        <f ca="1">Z1750+Z1745</f>
        <v>3734162.3371309042</v>
      </c>
      <c r="AB1754" s="102">
        <f ca="1">Tab1SDataShiftSummary[[#This Row],[Summary0]]-Tab1SDataShiftSummary[[#This Row],[Summary20]]</f>
        <v>-1588161.0471218824</v>
      </c>
      <c r="AC1754" s="102">
        <f>Tab1SDataShiftSummary[[#This Row],[Summary1]]-Tab1SDataShiftSummary[[#This Row],[Summary0]]</f>
        <v>-160639.10000000894</v>
      </c>
      <c r="AD1754" s="102">
        <f>Tab1SDataShiftSummary[[#This Row],[Summary2]]-Tab1SDataShiftSummary[[#This Row],[Summary1]]</f>
        <v>1.4901161193847656E-8</v>
      </c>
      <c r="AE1754" s="102">
        <f>Tab1SDataShiftSummary[[#This Row],[Summary3]]-Tab1SDataShiftSummary[[#This Row],[Summary2]]</f>
        <v>359380</v>
      </c>
      <c r="AF1754" s="102">
        <f>Tab1SDataShiftSummary[[#This Row],[Summary4]]-Tab1SDataShiftSummary[[#This Row],[Summary3]]</f>
        <v>0</v>
      </c>
      <c r="AG1754" s="102">
        <f>Tab1SDataShiftSummary[[#This Row],[Summary5]]-Tab1SDataShiftSummary[[#This Row],[Summary4]]</f>
        <v>-1.4901161193847656E-8</v>
      </c>
      <c r="AH1754" s="102">
        <f>Tab1SDataShiftSummary[[#This Row],[Summary6]]-Tab1SDataShiftSummary[[#This Row],[Summary5]]</f>
        <v>811190.00000000745</v>
      </c>
      <c r="AI1754" s="102">
        <f>Tab1SDataShiftSummary[[#This Row],[Summary7]]-Tab1SDataShiftSummary[[#This Row],[Summary6]]</f>
        <v>0</v>
      </c>
      <c r="AJ1754" s="102">
        <f>Tab1SDataShiftSummary[[#This Row],[Summary8]]-Tab1SDataShiftSummary[[#This Row],[Summary7]]</f>
        <v>130866</v>
      </c>
      <c r="AK1754" s="102">
        <f>Tab1SDataShiftSummary[[#This Row],[Summary9]]-Tab1SDataShiftSummary[[#This Row],[Summary8]]</f>
        <v>564760</v>
      </c>
      <c r="AL1754" s="102">
        <f>Tab1SDataShiftSummary[[#This Row],[Summary10]]-Tab1SDataShiftSummary[[#This Row],[Summary9]]</f>
        <v>-5618.8000000119209</v>
      </c>
      <c r="AM1754" s="102">
        <f>Tab1SDataShiftSummary[[#This Row],[Summary11]]-Tab1SDataShiftSummary[[#This Row],[Summary10]]</f>
        <v>-535519.91699997336</v>
      </c>
      <c r="AN1754" s="102">
        <f>Tab1SDataShiftSummary[[#This Row],[Summary12]]-Tab1SDataShiftSummary[[#This Row],[Summary11]]</f>
        <v>27860</v>
      </c>
      <c r="AO1754" s="102">
        <f>Tab1SDataShiftSummary[[#This Row],[Summary13]]-Tab1SDataShiftSummary[[#This Row],[Summary12]]</f>
        <v>0</v>
      </c>
      <c r="AP1754" s="102">
        <f>Tab1SDataShiftSummary[[#This Row],[Summary14]]-Tab1SDataShiftSummary[[#This Row],[Summary13]]</f>
        <v>98068.79999999702</v>
      </c>
      <c r="AQ1754" s="102">
        <f>Tab1SDataShiftSummary[[#This Row],[Summary15]]-Tab1SDataShiftSummary[[#This Row],[Summary14]]</f>
        <v>228011.40512937307</v>
      </c>
      <c r="AR1754" s="102">
        <f>Tab1SDataShiftSummary[[#This Row],[Summary16]]-Tab1SDataShiftSummary[[#This Row],[Summary15]]</f>
        <v>48448.57500000298</v>
      </c>
      <c r="AS1754" s="102">
        <f>Tab1SDataShiftSummary[[#This Row],[Summary17]]-Tab1SDataShiftSummary[[#This Row],[Summary16]]</f>
        <v>-343787.52413251251</v>
      </c>
      <c r="AT1754" s="102">
        <f>Tab1SDataShiftSummary[[#This Row],[Summary18]]-Tab1SDataShiftSummary[[#This Row],[Summary17]]</f>
        <v>137822.58000000566</v>
      </c>
      <c r="AU1754" s="102">
        <f>Tab1SDataShiftSummary[[#This Row],[Summary19]]-Tab1SDataShiftSummary[[#This Row],[Summary18]]</f>
        <v>227319.02812500298</v>
      </c>
      <c r="AV1754" s="102">
        <f ca="1">Tab1SDataShiftSummary[[#This Row],[Summary20]]-Tab1SDataShiftSummary[[#This Row],[Summary19]]</f>
        <v>0</v>
      </c>
      <c r="AY1754" s="786" t="s">
        <v>1979</v>
      </c>
      <c r="BA1754" s="1136">
        <f t="shared" ref="BA1754:BC1754" si="131">V3</f>
        <v>45909</v>
      </c>
      <c r="BB1754" s="1136">
        <f t="shared" si="131"/>
        <v>45910</v>
      </c>
      <c r="BC1754" s="1136">
        <f t="shared" si="131"/>
        <v>45911</v>
      </c>
      <c r="BD1754" s="1136">
        <f>Y3</f>
        <v>45912</v>
      </c>
      <c r="BE1754" s="1137">
        <f ca="1">Z3</f>
        <v>45912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0.68664323529683902</v>
      </c>
      <c r="G1755" s="331">
        <v>0.69551523442796404</v>
      </c>
      <c r="H1755" s="331">
        <v>0.69750932124878173</v>
      </c>
      <c r="I1755" s="331">
        <v>0.65824726872041672</v>
      </c>
      <c r="J1755" s="331">
        <v>0.65824726872041672</v>
      </c>
      <c r="K1755" s="331">
        <v>0.63778629797635111</v>
      </c>
      <c r="L1755" s="331">
        <v>0.62349080072101304</v>
      </c>
      <c r="M1755" s="331">
        <v>0.62081376925191645</v>
      </c>
      <c r="N1755" s="331">
        <v>0.63222423129198224</v>
      </c>
      <c r="O1755" s="331">
        <v>0.58998439607121944</v>
      </c>
      <c r="P1755" s="331">
        <v>0.56877285380180309</v>
      </c>
      <c r="Q1755" s="331">
        <v>0.54607355201277985</v>
      </c>
      <c r="R1755" s="331">
        <v>0.58373433351033088</v>
      </c>
      <c r="S1755" s="331">
        <v>0.58014792208094101</v>
      </c>
      <c r="T1755" s="331">
        <v>0.60688838467254813</v>
      </c>
      <c r="U1755" s="331">
        <v>0.61322177463153515</v>
      </c>
      <c r="V1755" s="331">
        <v>0.62134755749300874</v>
      </c>
      <c r="W1755" s="331">
        <v>0.63636055613692821</v>
      </c>
      <c r="X1755" s="331">
        <v>0.63881649331991341</v>
      </c>
      <c r="Y1755" s="331">
        <v>0.62526298510454192</v>
      </c>
      <c r="Z1755" s="331">
        <f ca="1">Z1747/ABS(Z1746)</f>
        <v>0.62526298510454192</v>
      </c>
      <c r="AB1755" s="102">
        <f ca="1">Tab1SDataShiftSummary[[#This Row],[Summary0]]-Tab1SDataShiftSummary[[#This Row],[Summary20]]</f>
        <v>6.1380250192297092E-2</v>
      </c>
      <c r="AC1755" s="102">
        <f>Tab1SDataShiftSummary[[#This Row],[Summary1]]-Tab1SDataShiftSummary[[#This Row],[Summary0]]</f>
        <v>8.871999131125019E-3</v>
      </c>
      <c r="AD1755" s="102">
        <f>Tab1SDataShiftSummary[[#This Row],[Summary2]]-Tab1SDataShiftSummary[[#This Row],[Summary1]]</f>
        <v>1.9940868208176976E-3</v>
      </c>
      <c r="AE1755" s="102">
        <f>Tab1SDataShiftSummary[[#This Row],[Summary3]]-Tab1SDataShiftSummary[[#This Row],[Summary2]]</f>
        <v>-3.926205252836501E-2</v>
      </c>
      <c r="AF1755" s="102">
        <f>Tab1SDataShiftSummary[[#This Row],[Summary4]]-Tab1SDataShiftSummary[[#This Row],[Summary3]]</f>
        <v>0</v>
      </c>
      <c r="AG1755" s="102">
        <f>Tab1SDataShiftSummary[[#This Row],[Summary5]]-Tab1SDataShiftSummary[[#This Row],[Summary4]]</f>
        <v>-2.046097074406561E-2</v>
      </c>
      <c r="AH1755" s="102">
        <f>Tab1SDataShiftSummary[[#This Row],[Summary6]]-Tab1SDataShiftSummary[[#This Row],[Summary5]]</f>
        <v>-1.4295497255338074E-2</v>
      </c>
      <c r="AI1755" s="102">
        <f>Tab1SDataShiftSummary[[#This Row],[Summary7]]-Tab1SDataShiftSummary[[#This Row],[Summary6]]</f>
        <v>-2.6770314690965913E-3</v>
      </c>
      <c r="AJ1755" s="102">
        <f>Tab1SDataShiftSummary[[#This Row],[Summary8]]-Tab1SDataShiftSummary[[#This Row],[Summary7]]</f>
        <v>1.1410462040065794E-2</v>
      </c>
      <c r="AK1755" s="102">
        <f>Tab1SDataShiftSummary[[#This Row],[Summary9]]-Tab1SDataShiftSummary[[#This Row],[Summary8]]</f>
        <v>-4.22398352207628E-2</v>
      </c>
      <c r="AL1755" s="102">
        <f>Tab1SDataShiftSummary[[#This Row],[Summary10]]-Tab1SDataShiftSummary[[#This Row],[Summary9]]</f>
        <v>-2.121154226941635E-2</v>
      </c>
      <c r="AM1755" s="102">
        <f>Tab1SDataShiftSummary[[#This Row],[Summary11]]-Tab1SDataShiftSummary[[#This Row],[Summary10]]</f>
        <v>-2.2699301789023241E-2</v>
      </c>
      <c r="AN1755" s="102">
        <f>Tab1SDataShiftSummary[[#This Row],[Summary12]]-Tab1SDataShiftSummary[[#This Row],[Summary11]]</f>
        <v>3.7660781497551032E-2</v>
      </c>
      <c r="AO1755" s="102">
        <f>Tab1SDataShiftSummary[[#This Row],[Summary13]]-Tab1SDataShiftSummary[[#This Row],[Summary12]]</f>
        <v>-3.5864114293898686E-3</v>
      </c>
      <c r="AP1755" s="102">
        <f>Tab1SDataShiftSummary[[#This Row],[Summary14]]-Tab1SDataShiftSummary[[#This Row],[Summary13]]</f>
        <v>2.6740462591607117E-2</v>
      </c>
      <c r="AQ1755" s="102">
        <f>Tab1SDataShiftSummary[[#This Row],[Summary15]]-Tab1SDataShiftSummary[[#This Row],[Summary14]]</f>
        <v>6.3333899589870235E-3</v>
      </c>
      <c r="AR1755" s="102">
        <f>Tab1SDataShiftSummary[[#This Row],[Summary16]]-Tab1SDataShiftSummary[[#This Row],[Summary15]]</f>
        <v>8.125782861473585E-3</v>
      </c>
      <c r="AS1755" s="102">
        <f>Tab1SDataShiftSummary[[#This Row],[Summary17]]-Tab1SDataShiftSummary[[#This Row],[Summary16]]</f>
        <v>1.5012998643919473E-2</v>
      </c>
      <c r="AT1755" s="102">
        <f>Tab1SDataShiftSummary[[#This Row],[Summary18]]-Tab1SDataShiftSummary[[#This Row],[Summary17]]</f>
        <v>2.4559371829852017E-3</v>
      </c>
      <c r="AU1755" s="102">
        <f>Tab1SDataShiftSummary[[#This Row],[Summary19]]-Tab1SDataShiftSummary[[#This Row],[Summary18]]</f>
        <v>-1.355350821537149E-2</v>
      </c>
      <c r="AV1755" s="102">
        <f ca="1">Tab1SDataShiftSummary[[#This Row],[Summary20]]-Tab1SDataShiftSummary[[#This Row],[Summary19]]</f>
        <v>0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9450726.6799999997</v>
      </c>
      <c r="G1756" s="792">
        <v>9517448.8399999999</v>
      </c>
      <c r="H1756" s="792">
        <v>9551677.1999999993</v>
      </c>
      <c r="I1756" s="792">
        <v>9564556.3099999987</v>
      </c>
      <c r="J1756" s="792">
        <v>9564556.3099999987</v>
      </c>
      <c r="K1756" s="792">
        <v>9513995.5700000003</v>
      </c>
      <c r="L1756" s="792">
        <v>8839591.8000000007</v>
      </c>
      <c r="M1756" s="792">
        <v>8807402.9499999993</v>
      </c>
      <c r="N1756" s="792">
        <v>8873209.870000001</v>
      </c>
      <c r="O1756" s="792">
        <v>8841600.6099999994</v>
      </c>
      <c r="P1756" s="792">
        <v>8712171.2599999998</v>
      </c>
      <c r="Q1756" s="792">
        <v>8984705.4100000001</v>
      </c>
      <c r="R1756" s="792">
        <v>9113804.25</v>
      </c>
      <c r="S1756" s="792">
        <v>9076862.4199999999</v>
      </c>
      <c r="T1756" s="792">
        <v>9185532.9100000001</v>
      </c>
      <c r="U1756" s="792">
        <v>9120341.7199999988</v>
      </c>
      <c r="V1756" s="792">
        <v>9215849.5600000005</v>
      </c>
      <c r="W1756" s="792">
        <v>9197647.8599999994</v>
      </c>
      <c r="X1756" s="792">
        <v>9157621</v>
      </c>
      <c r="Y1756" s="792">
        <v>9141622.8300000001</v>
      </c>
      <c r="Z1756" s="792">
        <f ca="1">Z1716+Z1736</f>
        <v>9141622.8300000001</v>
      </c>
      <c r="AA1756" s="388"/>
      <c r="AB1756" s="1203">
        <f ca="1">Tab1SDataShiftSummary[[#This Row],[Summary0]]-Tab1SDataShiftSummary[[#This Row],[Summary20]]</f>
        <v>309103.84999999963</v>
      </c>
      <c r="AC1756" s="1203">
        <f>Tab1SDataShiftSummary[[#This Row],[Summary1]]-Tab1SDataShiftSummary[[#This Row],[Summary0]]</f>
        <v>66722.160000000149</v>
      </c>
      <c r="AD1756" s="1203">
        <f>Tab1SDataShiftSummary[[#This Row],[Summary2]]-Tab1SDataShiftSummary[[#This Row],[Summary1]]</f>
        <v>34228.359999999404</v>
      </c>
      <c r="AE1756" s="1203">
        <f>Tab1SDataShiftSummary[[#This Row],[Summary3]]-Tab1SDataShiftSummary[[#This Row],[Summary2]]</f>
        <v>12879.109999999404</v>
      </c>
      <c r="AF1756" s="1203">
        <f>Tab1SDataShiftSummary[[#This Row],[Summary4]]-Tab1SDataShiftSummary[[#This Row],[Summary3]]</f>
        <v>0</v>
      </c>
      <c r="AG1756" s="1203">
        <f>Tab1SDataShiftSummary[[#This Row],[Summary5]]-Tab1SDataShiftSummary[[#This Row],[Summary4]]</f>
        <v>-50560.739999998361</v>
      </c>
      <c r="AH1756" s="1203">
        <f>Tab1SDataShiftSummary[[#This Row],[Summary6]]-Tab1SDataShiftSummary[[#This Row],[Summary5]]</f>
        <v>-674403.76999999955</v>
      </c>
      <c r="AI1756" s="1203">
        <f>Tab1SDataShiftSummary[[#This Row],[Summary7]]-Tab1SDataShiftSummary[[#This Row],[Summary6]]</f>
        <v>-32188.85000000149</v>
      </c>
      <c r="AJ1756" s="1203">
        <f>Tab1SDataShiftSummary[[#This Row],[Summary8]]-Tab1SDataShiftSummary[[#This Row],[Summary7]]</f>
        <v>65806.920000001788</v>
      </c>
      <c r="AK1756" s="1203">
        <f>Tab1SDataShiftSummary[[#This Row],[Summary9]]-Tab1SDataShiftSummary[[#This Row],[Summary8]]</f>
        <v>-31609.260000001639</v>
      </c>
      <c r="AL1756" s="1203">
        <f>Tab1SDataShiftSummary[[#This Row],[Summary10]]-Tab1SDataShiftSummary[[#This Row],[Summary9]]</f>
        <v>-129429.34999999963</v>
      </c>
      <c r="AM1756" s="1203">
        <f>Tab1SDataShiftSummary[[#This Row],[Summary11]]-Tab1SDataShiftSummary[[#This Row],[Summary10]]</f>
        <v>272534.15000000037</v>
      </c>
      <c r="AN1756" s="1203">
        <f>Tab1SDataShiftSummary[[#This Row],[Summary12]]-Tab1SDataShiftSummary[[#This Row],[Summary11]]</f>
        <v>129098.83999999985</v>
      </c>
      <c r="AO1756" s="1203">
        <f>Tab1SDataShiftSummary[[#This Row],[Summary13]]-Tab1SDataShiftSummary[[#This Row],[Summary12]]</f>
        <v>-36941.830000000075</v>
      </c>
      <c r="AP1756" s="1203">
        <f>Tab1SDataShiftSummary[[#This Row],[Summary14]]-Tab1SDataShiftSummary[[#This Row],[Summary13]]</f>
        <v>108670.49000000022</v>
      </c>
      <c r="AQ1756" s="1203">
        <f>Tab1SDataShiftSummary[[#This Row],[Summary15]]-Tab1SDataShiftSummary[[#This Row],[Summary14]]</f>
        <v>-65191.190000001341</v>
      </c>
      <c r="AR1756" s="1203">
        <f>Tab1SDataShiftSummary[[#This Row],[Summary16]]-Tab1SDataShiftSummary[[#This Row],[Summary15]]</f>
        <v>95507.840000001714</v>
      </c>
      <c r="AS1756" s="1203">
        <f>Tab1SDataShiftSummary[[#This Row],[Summary17]]-Tab1SDataShiftSummary[[#This Row],[Summary16]]</f>
        <v>-18201.700000001118</v>
      </c>
      <c r="AT1756" s="1203">
        <f>Tab1SDataShiftSummary[[#This Row],[Summary18]]-Tab1SDataShiftSummary[[#This Row],[Summary17]]</f>
        <v>-40026.859999999404</v>
      </c>
      <c r="AU1756" s="1203">
        <f>Tab1SDataShiftSummary[[#This Row],[Summary19]]-Tab1SDataShiftSummary[[#This Row],[Summary18]]</f>
        <v>-15998.169999999925</v>
      </c>
      <c r="AV1756" s="1203">
        <f ca="1">Tab1SDataShiftSummary[[#This Row],[Summary20]]-Tab1SDataShiftSummary[[#This Row],[Summary19]]</f>
        <v>0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21360860.649999999</v>
      </c>
      <c r="G1757" s="792">
        <v>21430792.455000002</v>
      </c>
      <c r="H1757" s="792">
        <v>21402649.2676</v>
      </c>
      <c r="I1757" s="792">
        <v>20786609.916999999</v>
      </c>
      <c r="J1757" s="792">
        <v>20786609.916999999</v>
      </c>
      <c r="K1757" s="792">
        <v>20627989.859999999</v>
      </c>
      <c r="L1757" s="792">
        <v>20655626.619999997</v>
      </c>
      <c r="M1757" s="792">
        <v>20665329.569999997</v>
      </c>
      <c r="N1757" s="792">
        <v>20764387.580000002</v>
      </c>
      <c r="O1757" s="792">
        <v>20252499.084399994</v>
      </c>
      <c r="P1757" s="792">
        <v>20134805.5</v>
      </c>
      <c r="Q1757" s="792">
        <v>19814522.238700002</v>
      </c>
      <c r="R1757" s="792">
        <v>20062635.299999997</v>
      </c>
      <c r="S1757" s="792">
        <v>20057510.719999999</v>
      </c>
      <c r="T1757" s="792">
        <v>20282868.499999996</v>
      </c>
      <c r="U1757" s="792">
        <v>20396840.344999999</v>
      </c>
      <c r="V1757" s="792">
        <v>20354860.469999999</v>
      </c>
      <c r="W1757" s="792">
        <v>20631376.335000001</v>
      </c>
      <c r="X1757" s="792">
        <v>20633059.18</v>
      </c>
      <c r="Y1757" s="792">
        <v>20491680.845000003</v>
      </c>
      <c r="Z1757" s="792">
        <f ca="1">Z1717+Z1737</f>
        <v>20491680.845000003</v>
      </c>
      <c r="AA1757" s="388"/>
      <c r="AB1757" s="102">
        <f ca="1">Tab1SDataShiftSummary[[#This Row],[Summary0]]-Tab1SDataShiftSummary[[#This Row],[Summary20]]</f>
        <v>869179.80499999598</v>
      </c>
      <c r="AC1757" s="102">
        <f>Tab1SDataShiftSummary[[#This Row],[Summary1]]-Tab1SDataShiftSummary[[#This Row],[Summary0]]</f>
        <v>69931.805000003427</v>
      </c>
      <c r="AD1757" s="102">
        <f>Tab1SDataShiftSummary[[#This Row],[Summary2]]-Tab1SDataShiftSummary[[#This Row],[Summary1]]</f>
        <v>-28143.187400002033</v>
      </c>
      <c r="AE1757" s="102">
        <f>Tab1SDataShiftSummary[[#This Row],[Summary3]]-Tab1SDataShiftSummary[[#This Row],[Summary2]]</f>
        <v>-616039.35060000047</v>
      </c>
      <c r="AF1757" s="102">
        <f>Tab1SDataShiftSummary[[#This Row],[Summary4]]-Tab1SDataShiftSummary[[#This Row],[Summary3]]</f>
        <v>0</v>
      </c>
      <c r="AG1757" s="102">
        <f>Tab1SDataShiftSummary[[#This Row],[Summary5]]-Tab1SDataShiftSummary[[#This Row],[Summary4]]</f>
        <v>-158620.05700000003</v>
      </c>
      <c r="AH1757" s="102">
        <f>Tab1SDataShiftSummary[[#This Row],[Summary6]]-Tab1SDataShiftSummary[[#This Row],[Summary5]]</f>
        <v>27636.759999997914</v>
      </c>
      <c r="AI1757" s="102">
        <f>Tab1SDataShiftSummary[[#This Row],[Summary7]]-Tab1SDataShiftSummary[[#This Row],[Summary6]]</f>
        <v>9702.9499999992549</v>
      </c>
      <c r="AJ1757" s="102">
        <f>Tab1SDataShiftSummary[[#This Row],[Summary8]]-Tab1SDataShiftSummary[[#This Row],[Summary7]]</f>
        <v>99058.010000005364</v>
      </c>
      <c r="AK1757" s="102">
        <f>Tab1SDataShiftSummary[[#This Row],[Summary9]]-Tab1SDataShiftSummary[[#This Row],[Summary8]]</f>
        <v>-511888.49560000747</v>
      </c>
      <c r="AL1757" s="102">
        <f>Tab1SDataShiftSummary[[#This Row],[Summary10]]-Tab1SDataShiftSummary[[#This Row],[Summary9]]</f>
        <v>-117693.58439999446</v>
      </c>
      <c r="AM1757" s="102">
        <f>Tab1SDataShiftSummary[[#This Row],[Summary11]]-Tab1SDataShiftSummary[[#This Row],[Summary10]]</f>
        <v>-320283.26129999757</v>
      </c>
      <c r="AN1757" s="102">
        <f>Tab1SDataShiftSummary[[#This Row],[Summary12]]-Tab1SDataShiftSummary[[#This Row],[Summary11]]</f>
        <v>248113.06129999459</v>
      </c>
      <c r="AO1757" s="102">
        <f>Tab1SDataShiftSummary[[#This Row],[Summary13]]-Tab1SDataShiftSummary[[#This Row],[Summary12]]</f>
        <v>-5124.5799999982119</v>
      </c>
      <c r="AP1757" s="102">
        <f>Tab1SDataShiftSummary[[#This Row],[Summary14]]-Tab1SDataShiftSummary[[#This Row],[Summary13]]</f>
        <v>225357.77999999747</v>
      </c>
      <c r="AQ1757" s="102">
        <f>Tab1SDataShiftSummary[[#This Row],[Summary15]]-Tab1SDataShiftSummary[[#This Row],[Summary14]]</f>
        <v>113971.84500000253</v>
      </c>
      <c r="AR1757" s="102">
        <f>Tab1SDataShiftSummary[[#This Row],[Summary16]]-Tab1SDataShiftSummary[[#This Row],[Summary15]]</f>
        <v>-41979.875</v>
      </c>
      <c r="AS1757" s="102">
        <f>Tab1SDataShiftSummary[[#This Row],[Summary17]]-Tab1SDataShiftSummary[[#This Row],[Summary16]]</f>
        <v>276515.86500000209</v>
      </c>
      <c r="AT1757" s="102">
        <f>Tab1SDataShiftSummary[[#This Row],[Summary18]]-Tab1SDataShiftSummary[[#This Row],[Summary17]]</f>
        <v>1682.8449999988079</v>
      </c>
      <c r="AU1757" s="102">
        <f>Tab1SDataShiftSummary[[#This Row],[Summary19]]-Tab1SDataShiftSummary[[#This Row],[Summary18]]</f>
        <v>-141378.33499999717</v>
      </c>
      <c r="AV1757" s="102">
        <f ca="1">Tab1SDataShiftSummary[[#This Row],[Summary20]]-Tab1SDataShiftSummary[[#This Row],[Summary19]]</f>
        <v>0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48570</v>
      </c>
      <c r="BB1757" s="635" cm="1">
        <f t="array" aca="1" ref="BB1757" ca="1">SUMPRODUCT(
  (Entries!$A$479:$A$571 = BB$1754) *
  (Entries!$J$479:$J$571= Entries!$L$42) *
  --(Entries!$E$479:$E$571)
)</f>
        <v>-344649.147</v>
      </c>
      <c r="BC1757" s="635" cm="1">
        <f t="array" aca="1" ref="BC1757" ca="1">SUMPRODUCT(
  (Entries!$A$479:$A$571 = BC$1754) *
  (Entries!$J$479:$J$571= Entries!$L$42) *
  --(Entries!$E$479:$E$571)
)</f>
        <v>0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1555260</v>
      </c>
      <c r="G1758" s="792">
        <v>1555624.5</v>
      </c>
      <c r="H1758" s="792">
        <v>1563570</v>
      </c>
      <c r="I1758" s="792">
        <v>1581810</v>
      </c>
      <c r="J1758" s="792">
        <v>1581810</v>
      </c>
      <c r="K1758" s="792">
        <v>1556820</v>
      </c>
      <c r="L1758" s="792">
        <v>1598460</v>
      </c>
      <c r="M1758" s="792">
        <v>1594020</v>
      </c>
      <c r="N1758" s="792">
        <v>1563000</v>
      </c>
      <c r="O1758" s="792">
        <v>1577996.28</v>
      </c>
      <c r="P1758" s="792">
        <v>1598404.32</v>
      </c>
      <c r="Q1758" s="792">
        <v>1617462</v>
      </c>
      <c r="R1758" s="792">
        <v>1652146.8</v>
      </c>
      <c r="S1758" s="792">
        <v>1637995.36</v>
      </c>
      <c r="T1758" s="792">
        <v>1663840</v>
      </c>
      <c r="U1758" s="792">
        <v>1587100</v>
      </c>
      <c r="V1758" s="792">
        <v>1594490</v>
      </c>
      <c r="W1758" s="792">
        <v>1525290</v>
      </c>
      <c r="X1758" s="792">
        <v>1524690</v>
      </c>
      <c r="Y1758" s="792">
        <v>1526180</v>
      </c>
      <c r="Z1758" s="792">
        <f ca="1">Z1718+Z1738</f>
        <v>1526180</v>
      </c>
      <c r="AA1758" s="388"/>
      <c r="AB1758" s="102">
        <f ca="1">Tab1SDataShiftSummary[[#This Row],[Summary0]]-Tab1SDataShiftSummary[[#This Row],[Summary20]]</f>
        <v>29080</v>
      </c>
      <c r="AC1758" s="102">
        <f>Tab1SDataShiftSummary[[#This Row],[Summary1]]-Tab1SDataShiftSummary[[#This Row],[Summary0]]</f>
        <v>364.5</v>
      </c>
      <c r="AD1758" s="102">
        <f>Tab1SDataShiftSummary[[#This Row],[Summary2]]-Tab1SDataShiftSummary[[#This Row],[Summary1]]</f>
        <v>7945.5</v>
      </c>
      <c r="AE1758" s="102">
        <f>Tab1SDataShiftSummary[[#This Row],[Summary3]]-Tab1SDataShiftSummary[[#This Row],[Summary2]]</f>
        <v>18240</v>
      </c>
      <c r="AF1758" s="102">
        <f>Tab1SDataShiftSummary[[#This Row],[Summary4]]-Tab1SDataShiftSummary[[#This Row],[Summary3]]</f>
        <v>0</v>
      </c>
      <c r="AG1758" s="102">
        <f>Tab1SDataShiftSummary[[#This Row],[Summary5]]-Tab1SDataShiftSummary[[#This Row],[Summary4]]</f>
        <v>-24990</v>
      </c>
      <c r="AH1758" s="102">
        <f>Tab1SDataShiftSummary[[#This Row],[Summary6]]-Tab1SDataShiftSummary[[#This Row],[Summary5]]</f>
        <v>41640</v>
      </c>
      <c r="AI1758" s="102">
        <f>Tab1SDataShiftSummary[[#This Row],[Summary7]]-Tab1SDataShiftSummary[[#This Row],[Summary6]]</f>
        <v>-4440</v>
      </c>
      <c r="AJ1758" s="102">
        <f>Tab1SDataShiftSummary[[#This Row],[Summary8]]-Tab1SDataShiftSummary[[#This Row],[Summary7]]</f>
        <v>-31020</v>
      </c>
      <c r="AK1758" s="102">
        <f>Tab1SDataShiftSummary[[#This Row],[Summary9]]-Tab1SDataShiftSummary[[#This Row],[Summary8]]</f>
        <v>14996.280000000028</v>
      </c>
      <c r="AL1758" s="102">
        <f>Tab1SDataShiftSummary[[#This Row],[Summary10]]-Tab1SDataShiftSummary[[#This Row],[Summary9]]</f>
        <v>20408.040000000037</v>
      </c>
      <c r="AM1758" s="102">
        <f>Tab1SDataShiftSummary[[#This Row],[Summary11]]-Tab1SDataShiftSummary[[#This Row],[Summary10]]</f>
        <v>19057.679999999935</v>
      </c>
      <c r="AN1758" s="102">
        <f>Tab1SDataShiftSummary[[#This Row],[Summary12]]-Tab1SDataShiftSummary[[#This Row],[Summary11]]</f>
        <v>34684.800000000047</v>
      </c>
      <c r="AO1758" s="102">
        <f>Tab1SDataShiftSummary[[#This Row],[Summary13]]-Tab1SDataShiftSummary[[#This Row],[Summary12]]</f>
        <v>-14151.439999999944</v>
      </c>
      <c r="AP1758" s="102">
        <f>Tab1SDataShiftSummary[[#This Row],[Summary14]]-Tab1SDataShiftSummary[[#This Row],[Summary13]]</f>
        <v>25844.639999999898</v>
      </c>
      <c r="AQ1758" s="102">
        <f>Tab1SDataShiftSummary[[#This Row],[Summary15]]-Tab1SDataShiftSummary[[#This Row],[Summary14]]</f>
        <v>-76740</v>
      </c>
      <c r="AR1758" s="102">
        <f>Tab1SDataShiftSummary[[#This Row],[Summary16]]-Tab1SDataShiftSummary[[#This Row],[Summary15]]</f>
        <v>7390</v>
      </c>
      <c r="AS1758" s="102">
        <f>Tab1SDataShiftSummary[[#This Row],[Summary17]]-Tab1SDataShiftSummary[[#This Row],[Summary16]]</f>
        <v>-69200</v>
      </c>
      <c r="AT1758" s="102">
        <f>Tab1SDataShiftSummary[[#This Row],[Summary18]]-Tab1SDataShiftSummary[[#This Row],[Summary17]]</f>
        <v>-600</v>
      </c>
      <c r="AU1758" s="102">
        <f>Tab1SDataShiftSummary[[#This Row],[Summary19]]-Tab1SDataShiftSummary[[#This Row],[Summary18]]</f>
        <v>1490</v>
      </c>
      <c r="AV1758" s="102">
        <f ca="1">Tab1SDataShiftSummary[[#This Row],[Summary20]]-Tab1SDataShiftSummary[[#This Row],[Summary19]]</f>
        <v>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0.8668109697878561</v>
      </c>
      <c r="G1760" s="331">
        <v>0.86159623755606363</v>
      </c>
      <c r="H1760" s="331">
        <v>0.86359032437688166</v>
      </c>
      <c r="I1760" s="331">
        <v>0.85717146405396127</v>
      </c>
      <c r="J1760" s="331">
        <v>0.85717146405396127</v>
      </c>
      <c r="K1760" s="331">
        <v>0.83671049330989533</v>
      </c>
      <c r="L1760" s="331">
        <v>0.90768611175843328</v>
      </c>
      <c r="M1760" s="331">
        <v>0.90500908028933669</v>
      </c>
      <c r="N1760" s="331">
        <v>0.92784479252779251</v>
      </c>
      <c r="O1760" s="331">
        <v>0.93953739223452826</v>
      </c>
      <c r="P1760" s="331">
        <v>0.9178159087210882</v>
      </c>
      <c r="Q1760" s="331">
        <v>0.83630734417419739</v>
      </c>
      <c r="R1760" s="331">
        <v>0.87712732161153728</v>
      </c>
      <c r="S1760" s="331">
        <v>0.87354091018214741</v>
      </c>
      <c r="T1760" s="331">
        <v>0.90890039299184455</v>
      </c>
      <c r="U1760" s="331">
        <v>0.93530341336273026</v>
      </c>
      <c r="V1760" s="331">
        <v>0.94918192666740198</v>
      </c>
      <c r="W1760" s="331">
        <v>0.93247510665038991</v>
      </c>
      <c r="X1760" s="331">
        <v>0.95033810455487655</v>
      </c>
      <c r="Y1760" s="331">
        <v>0.95767865826320853</v>
      </c>
      <c r="Z1760" s="331">
        <f ca="1">-Z1751/Z1746</f>
        <v>0.95767865826320853</v>
      </c>
      <c r="AB1760" s="982">
        <f ca="1">Tab1SDataShiftSummary[[#This Row],[Summary0]]-Tab1SDataShiftSummary[[#This Row],[Summary20]]</f>
        <v>-9.0867688475352426E-2</v>
      </c>
      <c r="AC1760" s="982">
        <f>Tab1SDataShiftSummary[[#This Row],[Summary1]]-Tab1SDataShiftSummary[[#This Row],[Summary0]]</f>
        <v>-5.2147322317924738E-3</v>
      </c>
      <c r="AD1760" s="982">
        <f>Tab1SDataShiftSummary[[#This Row],[Summary2]]-Tab1SDataShiftSummary[[#This Row],[Summary1]]</f>
        <v>1.9940868208180307E-3</v>
      </c>
      <c r="AE1760" s="982">
        <f>Tab1SDataShiftSummary[[#This Row],[Summary3]]-Tab1SDataShiftSummary[[#This Row],[Summary2]]</f>
        <v>-6.4188603229203833E-3</v>
      </c>
      <c r="AF1760" s="982">
        <f>Tab1SDataShiftSummary[[#This Row],[Summary4]]-Tab1SDataShiftSummary[[#This Row],[Summary3]]</f>
        <v>0</v>
      </c>
      <c r="AG1760" s="982">
        <f>Tab1SDataShiftSummary[[#This Row],[Summary5]]-Tab1SDataShiftSummary[[#This Row],[Summary4]]</f>
        <v>-2.0460970744065943E-2</v>
      </c>
      <c r="AH1760" s="982">
        <f>Tab1SDataShiftSummary[[#This Row],[Summary6]]-Tab1SDataShiftSummary[[#This Row],[Summary5]]</f>
        <v>7.0975618448537947E-2</v>
      </c>
      <c r="AI1760" s="982">
        <f>Tab1SDataShiftSummary[[#This Row],[Summary7]]-Tab1SDataShiftSummary[[#This Row],[Summary6]]</f>
        <v>-2.6770314690965913E-3</v>
      </c>
      <c r="AJ1760" s="982">
        <f>Tab1SDataShiftSummary[[#This Row],[Summary8]]-Tab1SDataShiftSummary[[#This Row],[Summary7]]</f>
        <v>2.2835712238455819E-2</v>
      </c>
      <c r="AK1760" s="982">
        <f>Tab1SDataShiftSummary[[#This Row],[Summary9]]-Tab1SDataShiftSummary[[#This Row],[Summary8]]</f>
        <v>1.1692599706735751E-2</v>
      </c>
      <c r="AL1760" s="982">
        <f>Tab1SDataShiftSummary[[#This Row],[Summary10]]-Tab1SDataShiftSummary[[#This Row],[Summary9]]</f>
        <v>-2.1721483513440054E-2</v>
      </c>
      <c r="AM1760" s="982">
        <f>Tab1SDataShiftSummary[[#This Row],[Summary11]]-Tab1SDataShiftSummary[[#This Row],[Summary10]]</f>
        <v>-8.1508564546890816E-2</v>
      </c>
      <c r="AN1760" s="982">
        <f>Tab1SDataShiftSummary[[#This Row],[Summary12]]-Tab1SDataShiftSummary[[#This Row],[Summary11]]</f>
        <v>4.0819977437339894E-2</v>
      </c>
      <c r="AO1760" s="982">
        <f>Tab1SDataShiftSummary[[#This Row],[Summary13]]-Tab1SDataShiftSummary[[#This Row],[Summary12]]</f>
        <v>-3.5864114293898686E-3</v>
      </c>
      <c r="AP1760" s="982">
        <f>Tab1SDataShiftSummary[[#This Row],[Summary14]]-Tab1SDataShiftSummary[[#This Row],[Summary13]]</f>
        <v>3.535948280969714E-2</v>
      </c>
      <c r="AQ1760" s="982">
        <f>Tab1SDataShiftSummary[[#This Row],[Summary15]]-Tab1SDataShiftSummary[[#This Row],[Summary14]]</f>
        <v>2.640302037088571E-2</v>
      </c>
      <c r="AR1760" s="982">
        <f>Tab1SDataShiftSummary[[#This Row],[Summary16]]-Tab1SDataShiftSummary[[#This Row],[Summary15]]</f>
        <v>1.3878513304671714E-2</v>
      </c>
      <c r="AS1760" s="982">
        <f>Tab1SDataShiftSummary[[#This Row],[Summary17]]-Tab1SDataShiftSummary[[#This Row],[Summary16]]</f>
        <v>-1.670682001701207E-2</v>
      </c>
      <c r="AT1760" s="982">
        <f>Tab1SDataShiftSummary[[#This Row],[Summary18]]-Tab1SDataShiftSummary[[#This Row],[Summary17]]</f>
        <v>1.7862997904486644E-2</v>
      </c>
      <c r="AU1760" s="102">
        <f>Tab1SDataShiftSummary[[#This Row],[Summary19]]-Tab1SDataShiftSummary[[#This Row],[Summary18]]</f>
        <v>7.3405537083319761E-3</v>
      </c>
      <c r="AV1760" s="102">
        <f ca="1">Tab1SDataShiftSummary[[#This Row],[Summary20]]-Tab1SDataShiftSummary[[#This Row],[Summary19]]</f>
        <v>0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0.45111721049214581</v>
      </c>
      <c r="G1761" s="331">
        <v>0.44688732390067359</v>
      </c>
      <c r="H1761" s="331">
        <v>0.4479216043259322</v>
      </c>
      <c r="I1761" s="331">
        <v>0.44532280208964209</v>
      </c>
      <c r="J1761" s="331">
        <v>0.44532280208964209</v>
      </c>
      <c r="K1761" s="331">
        <v>0.43469279723375487</v>
      </c>
      <c r="L1761" s="331">
        <v>0.46074247879845298</v>
      </c>
      <c r="M1761" s="331">
        <v>0.45938361465046679</v>
      </c>
      <c r="N1761" s="331">
        <v>0.47438532969447794</v>
      </c>
      <c r="O1761" s="331">
        <v>0.48874568593784778</v>
      </c>
      <c r="P1761" s="331">
        <v>0.47731958989832124</v>
      </c>
      <c r="Q1761" s="331">
        <v>0.4391273379139975</v>
      </c>
      <c r="R1761" s="331">
        <v>0.46002609800524924</v>
      </c>
      <c r="S1761" s="331">
        <v>0.45814513635344151</v>
      </c>
      <c r="T1761" s="331">
        <v>0.47885470843070038</v>
      </c>
      <c r="U1761" s="331">
        <v>0.48947156002035597</v>
      </c>
      <c r="V1761" s="331">
        <v>0.49570643519500651</v>
      </c>
      <c r="W1761" s="331">
        <v>0.48061865841892476</v>
      </c>
      <c r="X1761" s="331">
        <v>0.4881130815487949</v>
      </c>
      <c r="Y1761" s="331">
        <v>0.49663388814428772</v>
      </c>
      <c r="Z1761" s="331">
        <f ca="1">ABS((Z1744+Z1749)/Z1749)</f>
        <v>0.49663388814428772</v>
      </c>
      <c r="AB1761" s="331">
        <f ca="1">Tab1SDataShiftSummary[[#This Row],[Summary0]]-Tab1SDataShiftSummary[[#This Row],[Summary20]]</f>
        <v>-4.5516677652141901E-2</v>
      </c>
      <c r="AC1761" s="331">
        <f>Tab1SDataShiftSummary[[#This Row],[Summary1]]-Tab1SDataShiftSummary[[#This Row],[Summary0]]</f>
        <v>-4.2298865914722206E-3</v>
      </c>
      <c r="AD1761" s="331">
        <f>Tab1SDataShiftSummary[[#This Row],[Summary2]]-Tab1SDataShiftSummary[[#This Row],[Summary1]]</f>
        <v>1.0342804252586046E-3</v>
      </c>
      <c r="AE1761" s="331">
        <f>Tab1SDataShiftSummary[[#This Row],[Summary3]]-Tab1SDataShiftSummary[[#This Row],[Summary2]]</f>
        <v>-2.5988022362901098E-3</v>
      </c>
      <c r="AF1761" s="331">
        <f>Tab1SDataShiftSummary[[#This Row],[Summary4]]-Tab1SDataShiftSummary[[#This Row],[Summary3]]</f>
        <v>0</v>
      </c>
      <c r="AG1761" s="331">
        <f>Tab1SDataShiftSummary[[#This Row],[Summary5]]-Tab1SDataShiftSummary[[#This Row],[Summary4]]</f>
        <v>-1.0630004855887221E-2</v>
      </c>
      <c r="AH1761" s="331">
        <f>Tab1SDataShiftSummary[[#This Row],[Summary6]]-Tab1SDataShiftSummary[[#This Row],[Summary5]]</f>
        <v>2.6049681564698113E-2</v>
      </c>
      <c r="AI1761" s="331">
        <f>Tab1SDataShiftSummary[[#This Row],[Summary7]]-Tab1SDataShiftSummary[[#This Row],[Summary6]]</f>
        <v>-1.358864147986194E-3</v>
      </c>
      <c r="AJ1761" s="331">
        <f>Tab1SDataShiftSummary[[#This Row],[Summary8]]-Tab1SDataShiftSummary[[#This Row],[Summary7]]</f>
        <v>1.5001715044011155E-2</v>
      </c>
      <c r="AK1761" s="331">
        <f>Tab1SDataShiftSummary[[#This Row],[Summary9]]-Tab1SDataShiftSummary[[#This Row],[Summary8]]</f>
        <v>1.4360356243369843E-2</v>
      </c>
      <c r="AL1761" s="331">
        <f>Tab1SDataShiftSummary[[#This Row],[Summary10]]-Tab1SDataShiftSummary[[#This Row],[Summary9]]</f>
        <v>-1.1426096039526545E-2</v>
      </c>
      <c r="AM1761" s="331">
        <f>Tab1SDataShiftSummary[[#This Row],[Summary11]]-Tab1SDataShiftSummary[[#This Row],[Summary10]]</f>
        <v>-3.8192251984323744E-2</v>
      </c>
      <c r="AN1761" s="331">
        <f>Tab1SDataShiftSummary[[#This Row],[Summary12]]-Tab1SDataShiftSummary[[#This Row],[Summary11]]</f>
        <v>2.0898760091251745E-2</v>
      </c>
      <c r="AO1761" s="331">
        <f>Tab1SDataShiftSummary[[#This Row],[Summary13]]-Tab1SDataShiftSummary[[#This Row],[Summary12]]</f>
        <v>-1.8809616518077332E-3</v>
      </c>
      <c r="AP1761" s="331">
        <f>Tab1SDataShiftSummary[[#This Row],[Summary14]]-Tab1SDataShiftSummary[[#This Row],[Summary13]]</f>
        <v>2.0709572077258875E-2</v>
      </c>
      <c r="AQ1761" s="331">
        <f>Tab1SDataShiftSummary[[#This Row],[Summary15]]-Tab1SDataShiftSummary[[#This Row],[Summary14]]</f>
        <v>1.0616851589655585E-2</v>
      </c>
      <c r="AR1761" s="331">
        <f>Tab1SDataShiftSummary[[#This Row],[Summary16]]-Tab1SDataShiftSummary[[#This Row],[Summary15]]</f>
        <v>6.2348751746505449E-3</v>
      </c>
      <c r="AS1761" s="331">
        <f>Tab1SDataShiftSummary[[#This Row],[Summary17]]-Tab1SDataShiftSummary[[#This Row],[Summary16]]</f>
        <v>-1.5087776776081752E-2</v>
      </c>
      <c r="AT1761" s="331">
        <f>Tab1SDataShiftSummary[[#This Row],[Summary18]]-Tab1SDataShiftSummary[[#This Row],[Summary17]]</f>
        <v>7.4944231298701425E-3</v>
      </c>
      <c r="AU1761" s="331">
        <f>Tab1SDataShiftSummary[[#This Row],[Summary19]]-Tab1SDataShiftSummary[[#This Row],[Summary18]]</f>
        <v>8.5208065954928136E-3</v>
      </c>
      <c r="AV1761" s="331">
        <f ca="1">Tab1SDataShiftSummary[[#This Row],[Summary20]]-Tab1SDataShiftSummary[[#This Row],[Summary19]]</f>
        <v>0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>
        <v>-25850115.255454712</v>
      </c>
      <c r="H1762" s="792">
        <v>-25850115.255454712</v>
      </c>
      <c r="I1762" s="792">
        <v>-25573553.863454714</v>
      </c>
      <c r="J1762" s="792">
        <v>-25573553.863454714</v>
      </c>
      <c r="K1762" s="792">
        <v>-25573553.863454714</v>
      </c>
      <c r="L1762" s="792">
        <v>-24762363.863454714</v>
      </c>
      <c r="M1762" s="792">
        <v>-24762363.863454714</v>
      </c>
      <c r="N1762" s="792">
        <v>-24672168.713454716</v>
      </c>
      <c r="O1762" s="792">
        <v>-24157811.717454717</v>
      </c>
      <c r="P1762" s="792">
        <v>-24202150.517454714</v>
      </c>
      <c r="Q1762" s="792">
        <v>-24592587.335454717</v>
      </c>
      <c r="R1762" s="792">
        <v>-24564727.335454717</v>
      </c>
      <c r="S1762" s="792">
        <v>-24564727.335454717</v>
      </c>
      <c r="T1762" s="792">
        <v>-24466871.793454718</v>
      </c>
      <c r="U1762" s="792">
        <v>-24292415.761454713</v>
      </c>
      <c r="V1762" s="792">
        <v>-24243845.761454713</v>
      </c>
      <c r="W1762" s="792">
        <v>-24568838.751454715</v>
      </c>
      <c r="X1762" s="792">
        <v>-24430670.751454715</v>
      </c>
      <c r="Y1762" s="792">
        <v>-24261019.501454715</v>
      </c>
      <c r="Z1762" s="792">
        <f ca="1">Calc!AW102</f>
        <v>-24261019.501454715</v>
      </c>
      <c r="AB1762" s="1203">
        <f ca="1">Tab1SDataShiftSummary[[#This Row],[Summary0]]-Tab1SDataShiftSummary[[#This Row],[Summary20]]</f>
        <v>24261019.501454715</v>
      </c>
      <c r="AC1762" s="1203">
        <f>Tab1SDataShiftSummary[[#This Row],[Summary1]]-Tab1SDataShiftSummary[[#This Row],[Summary0]]</f>
        <v>-25850115.255454712</v>
      </c>
      <c r="AD1762" s="1203">
        <f>Tab1SDataShiftSummary[[#This Row],[Summary2]]-Tab1SDataShiftSummary[[#This Row],[Summary1]]</f>
        <v>0</v>
      </c>
      <c r="AE1762" s="1203">
        <f>Tab1SDataShiftSummary[[#This Row],[Summary3]]-Tab1SDataShiftSummary[[#This Row],[Summary2]]</f>
        <v>276561.3919999972</v>
      </c>
      <c r="AF1762" s="1203">
        <f>Tab1SDataShiftSummary[[#This Row],[Summary4]]-Tab1SDataShiftSummary[[#This Row],[Summary3]]</f>
        <v>0</v>
      </c>
      <c r="AG1762" s="1203">
        <f>Tab1SDataShiftSummary[[#This Row],[Summary5]]-Tab1SDataShiftSummary[[#This Row],[Summary4]]</f>
        <v>0</v>
      </c>
      <c r="AH1762" s="1203">
        <f>Tab1SDataShiftSummary[[#This Row],[Summary6]]-Tab1SDataShiftSummary[[#This Row],[Summary5]]</f>
        <v>811190</v>
      </c>
      <c r="AI1762" s="1203">
        <f>Tab1SDataShiftSummary[[#This Row],[Summary7]]-Tab1SDataShiftSummary[[#This Row],[Summary6]]</f>
        <v>0</v>
      </c>
      <c r="AJ1762" s="1203">
        <f>Tab1SDataShiftSummary[[#This Row],[Summary8]]-Tab1SDataShiftSummary[[#This Row],[Summary7]]</f>
        <v>90195.14999999851</v>
      </c>
      <c r="AK1762" s="1203">
        <f>Tab1SDataShiftSummary[[#This Row],[Summary9]]-Tab1SDataShiftSummary[[#This Row],[Summary8]]</f>
        <v>514356.99599999934</v>
      </c>
      <c r="AL1762" s="1203">
        <f>Tab1SDataShiftSummary[[#This Row],[Summary10]]-Tab1SDataShiftSummary[[#This Row],[Summary9]]</f>
        <v>-44338.79999999702</v>
      </c>
      <c r="AM1762" s="1203">
        <f>Tab1SDataShiftSummary[[#This Row],[Summary11]]-Tab1SDataShiftSummary[[#This Row],[Summary10]]</f>
        <v>-390436.8180000037</v>
      </c>
      <c r="AN1762" s="1203">
        <f>Tab1SDataShiftSummary[[#This Row],[Summary12]]-Tab1SDataShiftSummary[[#This Row],[Summary11]]</f>
        <v>27860</v>
      </c>
      <c r="AO1762" s="1203">
        <f>Tab1SDataShiftSummary[[#This Row],[Summary13]]-Tab1SDataShiftSummary[[#This Row],[Summary12]]</f>
        <v>0</v>
      </c>
      <c r="AP1762" s="1203">
        <f>Tab1SDataShiftSummary[[#This Row],[Summary14]]-Tab1SDataShiftSummary[[#This Row],[Summary13]]</f>
        <v>97855.541999999434</v>
      </c>
      <c r="AQ1762" s="1203">
        <f>Tab1SDataShiftSummary[[#This Row],[Summary15]]-Tab1SDataShiftSummary[[#This Row],[Summary14]]</f>
        <v>174456.03200000525</v>
      </c>
      <c r="AR1762" s="1203">
        <f>Tab1SDataShiftSummary[[#This Row],[Summary16]]-Tab1SDataShiftSummary[[#This Row],[Summary15]]</f>
        <v>48570</v>
      </c>
      <c r="AS1762" s="1203">
        <f>Tab1SDataShiftSummary[[#This Row],[Summary17]]-Tab1SDataShiftSummary[[#This Row],[Summary16]]</f>
        <v>-324992.99000000209</v>
      </c>
      <c r="AT1762" s="1203">
        <f>Tab1SDataShiftSummary[[#This Row],[Summary18]]-Tab1SDataShiftSummary[[#This Row],[Summary17]]</f>
        <v>138168</v>
      </c>
      <c r="AU1762" s="1203">
        <f>Tab1SDataShiftSummary[[#This Row],[Summary19]]-Tab1SDataShiftSummary[[#This Row],[Summary18]]</f>
        <v>169651.25</v>
      </c>
      <c r="AV1762" s="1203">
        <f ca="1">Tab1SDataShiftSummary[[#This Row],[Summary20]]-Tab1SDataShiftSummary[[#This Row],[Summary19]]</f>
        <v>0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>
        <v>2802523.8887</v>
      </c>
      <c r="H1763" s="792">
        <v>2802523.8887</v>
      </c>
      <c r="I1763" s="792">
        <v>2885342.4967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2926013.3467000006</v>
      </c>
      <c r="O1763" s="792">
        <v>2976416.3507000003</v>
      </c>
      <c r="P1763" s="792">
        <v>3015136.3507000003</v>
      </c>
      <c r="Q1763" s="792">
        <v>2870053.2517000004</v>
      </c>
      <c r="R1763" s="792">
        <v>2870053.2517000004</v>
      </c>
      <c r="S1763" s="792">
        <v>2870053.2517000004</v>
      </c>
      <c r="T1763" s="792">
        <v>2870266.5097000008</v>
      </c>
      <c r="U1763" s="792">
        <v>2870266.5097000008</v>
      </c>
      <c r="V1763" s="792">
        <v>2870266.5097000008</v>
      </c>
      <c r="W1763" s="792">
        <v>2850610.3527000002</v>
      </c>
      <c r="X1763" s="792">
        <v>2850610.3527000002</v>
      </c>
      <c r="Y1763" s="792">
        <v>2908847.8527000002</v>
      </c>
      <c r="Z1763" s="792">
        <f ca="1">Calc!AW103</f>
        <v>2908847.8527000002</v>
      </c>
      <c r="AB1763" s="980">
        <f ca="1">Tab1SDataShiftSummary[[#This Row],[Summary0]]-Tab1SDataShiftSummary[[#This Row],[Summary20]]</f>
        <v>-2908847.8527000002</v>
      </c>
      <c r="AC1763" s="981">
        <f>Tab1SDataShiftSummary[[#This Row],[Summary1]]-Tab1SDataShiftSummary[[#This Row],[Summary0]]</f>
        <v>2802523.8887</v>
      </c>
      <c r="AD1763" s="981">
        <f>Tab1SDataShiftSummary[[#This Row],[Summary2]]-Tab1SDataShiftSummary[[#This Row],[Summary1]]</f>
        <v>0</v>
      </c>
      <c r="AE1763" s="981">
        <f>Tab1SDataShiftSummary[[#This Row],[Summary3]]-Tab1SDataShiftSummary[[#This Row],[Summary2]]</f>
        <v>82818.608000000007</v>
      </c>
      <c r="AF1763" s="981">
        <f>Tab1SDataShiftSummary[[#This Row],[Summary4]]-Tab1SDataShiftSummary[[#This Row],[Summary3]]</f>
        <v>0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40670.850000000559</v>
      </c>
      <c r="AK1763" s="981">
        <f>Tab1SDataShiftSummary[[#This Row],[Summary9]]-Tab1SDataShiftSummary[[#This Row],[Summary8]]</f>
        <v>50403.003999999724</v>
      </c>
      <c r="AL1763" s="981">
        <f>Tab1SDataShiftSummary[[#This Row],[Summary10]]-Tab1SDataShiftSummary[[#This Row],[Summary9]]</f>
        <v>38720</v>
      </c>
      <c r="AM1763" s="981">
        <f>Tab1SDataShiftSummary[[#This Row],[Summary11]]-Tab1SDataShiftSummary[[#This Row],[Summary10]]</f>
        <v>-145083.09899999993</v>
      </c>
      <c r="AN1763" s="981">
        <f>Tab1SDataShiftSummary[[#This Row],[Summary12]]-Tab1SDataShiftSummary[[#This Row],[Summary11]]</f>
        <v>0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213.25800000037998</v>
      </c>
      <c r="AQ1763" s="981">
        <f>Tab1SDataShiftSummary[[#This Row],[Summary15]]-Tab1SDataShiftSummary[[#This Row],[Summary14]]</f>
        <v>0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-19656.157000000589</v>
      </c>
      <c r="AT1763" s="981">
        <f>Tab1SDataShiftSummary[[#This Row],[Summary18]]-Tab1SDataShiftSummary[[#This Row],[Summary17]]</f>
        <v>0</v>
      </c>
      <c r="AU1763" s="102">
        <f>Tab1SDataShiftSummary[[#This Row],[Summary19]]-Tab1SDataShiftSummary[[#This Row],[Summary18]]</f>
        <v>58237.5</v>
      </c>
      <c r="AV1763" s="102">
        <f ca="1">Tab1SDataShiftSummary[[#This Row],[Summary20]]-Tab1SDataShiftSummary[[#This Row],[Summary19]]</f>
        <v>0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508" priority="117" rank="20"/>
    <cfRule type="top10" dxfId="507" priority="118" rank="10"/>
    <cfRule type="top10" dxfId="506" priority="119" bottom="1" rank="30"/>
    <cfRule type="top10" dxfId="505" priority="120" bottom="1" rank="10"/>
  </conditionalFormatting>
  <conditionalFormatting sqref="AD698:AD790">
    <cfRule type="top10" dxfId="504" priority="121" rank="20"/>
    <cfRule type="top10" dxfId="503" priority="122" rank="10"/>
    <cfRule type="top10" dxfId="502" priority="123" bottom="1" rank="30"/>
    <cfRule type="top10" dxfId="501" priority="124" bottom="1" rank="10"/>
  </conditionalFormatting>
  <conditionalFormatting sqref="AE698:AE790">
    <cfRule type="top10" dxfId="500" priority="125" rank="20"/>
    <cfRule type="top10" dxfId="499" priority="126" rank="10"/>
    <cfRule type="top10" dxfId="498" priority="127" bottom="1" rank="30"/>
    <cfRule type="top10" dxfId="497" priority="128" bottom="1" rank="10"/>
  </conditionalFormatting>
  <conditionalFormatting sqref="AF698:AF790">
    <cfRule type="top10" dxfId="496" priority="129" rank="20"/>
    <cfRule type="top10" dxfId="495" priority="130" rank="10"/>
    <cfRule type="top10" dxfId="494" priority="131" bottom="1" rank="30"/>
    <cfRule type="top10" dxfId="493" priority="132" bottom="1" rank="10"/>
  </conditionalFormatting>
  <conditionalFormatting sqref="AG698:AG790">
    <cfRule type="top10" dxfId="492" priority="133" rank="20"/>
    <cfRule type="top10" dxfId="491" priority="134" rank="10"/>
    <cfRule type="top10" dxfId="490" priority="135" bottom="1" rank="30"/>
    <cfRule type="top10" dxfId="489" priority="136" bottom="1" rank="10"/>
  </conditionalFormatting>
  <conditionalFormatting sqref="AH698:AH790">
    <cfRule type="top10" dxfId="488" priority="137" rank="20"/>
    <cfRule type="top10" dxfId="487" priority="138" rank="10"/>
    <cfRule type="top10" dxfId="486" priority="139" bottom="1" rank="30"/>
    <cfRule type="top10" dxfId="485" priority="140" bottom="1" rank="10"/>
  </conditionalFormatting>
  <conditionalFormatting sqref="AI698:AI790">
    <cfRule type="top10" dxfId="484" priority="141" rank="20"/>
    <cfRule type="top10" dxfId="483" priority="142" rank="10"/>
    <cfRule type="top10" dxfId="482" priority="143" bottom="1" rank="30"/>
    <cfRule type="top10" dxfId="481" priority="144" bottom="1" rank="10"/>
  </conditionalFormatting>
  <conditionalFormatting sqref="AJ698:AJ790">
    <cfRule type="top10" dxfId="480" priority="145" rank="20"/>
    <cfRule type="top10" dxfId="479" priority="146" rank="10"/>
    <cfRule type="top10" dxfId="478" priority="147" bottom="1" rank="30"/>
    <cfRule type="top10" dxfId="477" priority="148" bottom="1" rank="10"/>
  </conditionalFormatting>
  <conditionalFormatting sqref="AD698:AD790">
    <cfRule type="top10" dxfId="476" priority="84" rank="20"/>
    <cfRule type="top10" dxfId="475" priority="85" rank="10"/>
    <cfRule type="top10" dxfId="474" priority="86" bottom="1" rank="30"/>
    <cfRule type="top10" dxfId="473" priority="87" bottom="1" rank="10"/>
  </conditionalFormatting>
  <conditionalFormatting sqref="AE698:AE790">
    <cfRule type="top10" dxfId="472" priority="88" rank="20"/>
    <cfRule type="top10" dxfId="471" priority="89" rank="10"/>
    <cfRule type="top10" dxfId="470" priority="90" bottom="1" rank="30"/>
    <cfRule type="top10" dxfId="469" priority="91" bottom="1" rank="10"/>
  </conditionalFormatting>
  <conditionalFormatting sqref="AF698:AF790">
    <cfRule type="top10" dxfId="468" priority="92" rank="20"/>
    <cfRule type="top10" dxfId="467" priority="93" rank="10"/>
    <cfRule type="top10" dxfId="466" priority="94" bottom="1" rank="30"/>
    <cfRule type="top10" dxfId="465" priority="95" bottom="1" rank="10"/>
  </conditionalFormatting>
  <conditionalFormatting sqref="AG698:AG790">
    <cfRule type="top10" dxfId="464" priority="96" rank="20"/>
    <cfRule type="top10" dxfId="463" priority="97" rank="10"/>
    <cfRule type="top10" dxfId="462" priority="98" bottom="1" rank="30"/>
    <cfRule type="top10" dxfId="461" priority="99" bottom="1" rank="10"/>
  </conditionalFormatting>
  <conditionalFormatting sqref="AH698:AH790">
    <cfRule type="top10" dxfId="460" priority="100" rank="20"/>
    <cfRule type="top10" dxfId="459" priority="101" rank="10"/>
    <cfRule type="top10" dxfId="458" priority="102" bottom="1" rank="30"/>
    <cfRule type="top10" dxfId="457" priority="103" bottom="1" rank="10"/>
  </conditionalFormatting>
  <conditionalFormatting sqref="AI698:AI790">
    <cfRule type="top10" dxfId="456" priority="104" rank="20"/>
    <cfRule type="top10" dxfId="455" priority="105" rank="10"/>
    <cfRule type="top10" dxfId="454" priority="106" bottom="1" rank="30"/>
    <cfRule type="top10" dxfId="453" priority="107" bottom="1" rank="10"/>
  </conditionalFormatting>
  <conditionalFormatting sqref="AJ698:AJ790">
    <cfRule type="top10" dxfId="452" priority="108" rank="20"/>
    <cfRule type="top10" dxfId="451" priority="109" rank="10"/>
    <cfRule type="top10" dxfId="450" priority="110" bottom="1" rank="30"/>
    <cfRule type="top10" dxfId="449" priority="111" bottom="1" rank="10"/>
  </conditionalFormatting>
  <conditionalFormatting sqref="AK698:AK790">
    <cfRule type="top10" dxfId="448" priority="112" rank="20"/>
    <cfRule type="top10" dxfId="447" priority="113" rank="10"/>
    <cfRule type="top10" dxfId="446" priority="114" bottom="1" rank="30"/>
    <cfRule type="top10" dxfId="445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444" priority="33" rank="20"/>
    <cfRule type="top10" dxfId="443" priority="34" rank="10"/>
    <cfRule type="top10" dxfId="442" priority="35" bottom="1" rank="30"/>
    <cfRule type="top10" dxfId="441" priority="36" bottom="1" rank="10"/>
  </conditionalFormatting>
  <conditionalFormatting sqref="AE698:AE790">
    <cfRule type="top10" dxfId="440" priority="37" rank="20"/>
    <cfRule type="top10" dxfId="439" priority="38" rank="10"/>
    <cfRule type="top10" dxfId="438" priority="39" bottom="1" rank="30"/>
    <cfRule type="top10" dxfId="437" priority="40" bottom="1" rank="10"/>
  </conditionalFormatting>
  <conditionalFormatting sqref="AF698:AF790">
    <cfRule type="top10" dxfId="436" priority="41" rank="20"/>
    <cfRule type="top10" dxfId="435" priority="42" rank="10"/>
    <cfRule type="top10" dxfId="434" priority="43" bottom="1" rank="30"/>
    <cfRule type="top10" dxfId="433" priority="44" bottom="1" rank="10"/>
  </conditionalFormatting>
  <conditionalFormatting sqref="AG698:AG790">
    <cfRule type="top10" dxfId="432" priority="45" rank="20"/>
    <cfRule type="top10" dxfId="431" priority="46" rank="10"/>
    <cfRule type="top10" dxfId="430" priority="47" bottom="1" rank="30"/>
    <cfRule type="top10" dxfId="429" priority="48" bottom="1" rank="10"/>
  </conditionalFormatting>
  <conditionalFormatting sqref="AH698:AH790">
    <cfRule type="top10" dxfId="428" priority="49" rank="20"/>
    <cfRule type="top10" dxfId="427" priority="50" rank="10"/>
    <cfRule type="top10" dxfId="426" priority="51" bottom="1" rank="30"/>
    <cfRule type="top10" dxfId="425" priority="52" bottom="1" rank="10"/>
  </conditionalFormatting>
  <conditionalFormatting sqref="AI698:AI790">
    <cfRule type="top10" dxfId="424" priority="53" rank="20"/>
    <cfRule type="top10" dxfId="423" priority="54" rank="10"/>
    <cfRule type="top10" dxfId="422" priority="55" bottom="1" rank="30"/>
    <cfRule type="top10" dxfId="421" priority="56" bottom="1" rank="10"/>
  </conditionalFormatting>
  <conditionalFormatting sqref="AJ698:AJ790">
    <cfRule type="top10" dxfId="420" priority="57" rank="20"/>
    <cfRule type="top10" dxfId="419" priority="58" rank="10"/>
    <cfRule type="top10" dxfId="418" priority="59" bottom="1" rank="30"/>
    <cfRule type="top10" dxfId="417" priority="60" bottom="1" rank="10"/>
  </conditionalFormatting>
  <conditionalFormatting sqref="AK698:AK790">
    <cfRule type="top10" dxfId="416" priority="61" rank="20"/>
    <cfRule type="top10" dxfId="415" priority="62" rank="10"/>
    <cfRule type="top10" dxfId="414" priority="63" bottom="1" rank="30"/>
    <cfRule type="top10" dxfId="413" priority="64" bottom="1" rank="10"/>
  </conditionalFormatting>
  <conditionalFormatting sqref="AE698:AE790">
    <cfRule type="top10" dxfId="412" priority="1" rank="20"/>
    <cfRule type="top10" dxfId="411" priority="2" rank="10"/>
    <cfRule type="top10" dxfId="410" priority="3" bottom="1" rank="30"/>
    <cfRule type="top10" dxfId="409" priority="4" bottom="1" rank="10"/>
  </conditionalFormatting>
  <conditionalFormatting sqref="AF698:AF790">
    <cfRule type="top10" dxfId="408" priority="5" rank="20"/>
    <cfRule type="top10" dxfId="407" priority="6" rank="10"/>
    <cfRule type="top10" dxfId="406" priority="7" bottom="1" rank="30"/>
    <cfRule type="top10" dxfId="405" priority="8" bottom="1" rank="10"/>
  </conditionalFormatting>
  <conditionalFormatting sqref="AG698:AG790">
    <cfRule type="top10" dxfId="404" priority="9" rank="20"/>
    <cfRule type="top10" dxfId="403" priority="10" rank="10"/>
    <cfRule type="top10" dxfId="402" priority="11" bottom="1" rank="30"/>
    <cfRule type="top10" dxfId="401" priority="12" bottom="1" rank="10"/>
  </conditionalFormatting>
  <conditionalFormatting sqref="AH698:AH790">
    <cfRule type="top10" dxfId="400" priority="13" rank="20"/>
    <cfRule type="top10" dxfId="399" priority="14" rank="10"/>
    <cfRule type="top10" dxfId="398" priority="15" bottom="1" rank="30"/>
    <cfRule type="top10" dxfId="397" priority="16" bottom="1" rank="10"/>
  </conditionalFormatting>
  <conditionalFormatting sqref="AI698:AI790">
    <cfRule type="top10" dxfId="396" priority="17" rank="20"/>
    <cfRule type="top10" dxfId="395" priority="18" rank="10"/>
    <cfRule type="top10" dxfId="394" priority="19" bottom="1" rank="30"/>
    <cfRule type="top10" dxfId="393" priority="20" bottom="1" rank="10"/>
  </conditionalFormatting>
  <conditionalFormatting sqref="AJ698:AJ790">
    <cfRule type="top10" dxfId="392" priority="21" rank="20"/>
    <cfRule type="top10" dxfId="391" priority="22" rank="10"/>
    <cfRule type="top10" dxfId="390" priority="23" bottom="1" rank="30"/>
    <cfRule type="top10" dxfId="389" priority="24" bottom="1" rank="10"/>
  </conditionalFormatting>
  <conditionalFormatting sqref="AK698:AK790">
    <cfRule type="top10" dxfId="388" priority="25" rank="20"/>
    <cfRule type="top10" dxfId="387" priority="26" rank="10"/>
    <cfRule type="top10" dxfId="386" priority="27" bottom="1" rank="30"/>
    <cfRule type="top10" dxfId="385" priority="28" bottom="1" rank="10"/>
  </conditionalFormatting>
  <conditionalFormatting sqref="AL698:AL790">
    <cfRule type="top10" dxfId="384" priority="29" rank="20"/>
    <cfRule type="top10" dxfId="383" priority="30" rank="10"/>
    <cfRule type="top10" dxfId="382" priority="31" bottom="1" rank="30"/>
    <cfRule type="top10" dxfId="381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CM4" activePane="bottomRight" state="frozen"/>
      <selection pane="topRight" activeCell="B1" sqref="B1"/>
      <selection pane="bottomLeft" activeCell="A4" sqref="A4"/>
      <selection pane="bottomRight" activeCell="CR5" sqref="CR5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24167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>
        <v>45903</v>
      </c>
      <c r="CR5" s="133">
        <v>2500</v>
      </c>
      <c r="CS5" s="176">
        <v>-5.4</v>
      </c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>
        <v>45912</v>
      </c>
      <c r="BB33" s="133">
        <v>3750</v>
      </c>
      <c r="BC33" s="176">
        <v>15.53</v>
      </c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>
        <v>45912</v>
      </c>
      <c r="CL33" s="133">
        <v>2000</v>
      </c>
      <c r="CM33" s="176">
        <v>79.260000000000005</v>
      </c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30</v>
      </c>
      <c r="BB57" s="166">
        <f>COUNT(TabReg[EOAN1])</f>
        <v>30</v>
      </c>
      <c r="BC57" s="166">
        <f>COUNT(TabReg[EOAN2])</f>
        <v>30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30</v>
      </c>
      <c r="CL57" s="166">
        <f>COUNT(TabReg[NEM1])</f>
        <v>30</v>
      </c>
      <c r="CM57" s="166">
        <f>COUNT(TabReg[NEM2])</f>
        <v>30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2</v>
      </c>
      <c r="CR57" s="166">
        <f>COUNT(TabReg[NOTE1])</f>
        <v>2</v>
      </c>
      <c r="CS57" s="166">
        <f>COUNT(TabReg[NOTE2])</f>
        <v>2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45912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45912</v>
      </c>
      <c r="BB59" s="603">
        <f>SUMIF(INDEX(TabReg[], 0, COLUMN()+1),"&lt;0", INDEX(TabReg[], 0, COLUMN()))-SUMIF(INDEX(TabReg[], 0, COLUMN()+1),"&gt;0", INDEX(TabReg[], 0, COLUMN()))</f>
        <v>6250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45912</v>
      </c>
      <c r="CL59" s="603">
        <f>SUMIF(INDEX(TabReg[], 0, COLUMN()+1),"&lt;0", INDEX(TabReg[], 0, COLUMN()))-SUMIF(INDEX(TabReg[], 0, COLUMN()+1),"&gt;0", INDEX(TabReg[], 0, COLUMN()))</f>
        <v>14200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45903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N1" zoomScale="80" zoomScaleNormal="80" workbookViewId="0">
      <selection activeCell="R5" sqref="R5:S22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234.07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-193769.11749999999</v>
      </c>
      <c r="CR5" s="623">
        <v>19667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-193769.11750985248</v>
      </c>
      <c r="CR36" s="1073">
        <f>SUBTOTAL(109,TabConsolid[NOTE1])</f>
        <v>19667.000001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84" zoomScale="150" workbookViewId="0">
      <selection activeCell="A491" sqref="A491:D491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4" t="s">
        <v>1139</v>
      </c>
      <c r="K38" s="1204" t="s">
        <v>1136</v>
      </c>
      <c r="L38" s="1204" t="s">
        <v>1494</v>
      </c>
      <c r="M38" s="1204" t="s">
        <v>1138</v>
      </c>
    </row>
    <row r="39" spans="1:14" ht="23" thickBot="1" x14ac:dyDescent="0.35">
      <c r="I39" s="898" t="s">
        <v>1980</v>
      </c>
      <c r="J39" s="1204" t="s">
        <v>1136</v>
      </c>
    </row>
    <row r="40" spans="1:14" x14ac:dyDescent="0.3">
      <c r="G40" s="1068" t="s">
        <v>2443</v>
      </c>
      <c r="I40" s="896" t="e">
        <f ca="1">I42*I38</f>
        <v>#REF!</v>
      </c>
      <c r="J40" s="1204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45912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4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 t="e">
        <f ca="1">SUM(F43:F504)</f>
        <v>#REF!</v>
      </c>
      <c r="G42" s="1070" t="s">
        <v>2442</v>
      </c>
      <c r="H42" s="901" t="e" cm="1">
        <f t="array" aca="1" ref="H42" ca="1">SUM(_xlfn._xlws.FILTER(F43:F504,F43:F504&gt;0))</f>
        <v>#REF!</v>
      </c>
      <c r="I42" s="896" t="e" cm="1">
        <f t="array" aca="1" ref="I42" ca="1">SUM(_xlfn._xlws.FILTER(F43:F504,F43:F504&lt;0))</f>
        <v>#REF!</v>
      </c>
      <c r="K42" s="1204" t="s">
        <v>1139</v>
      </c>
      <c r="L42" s="1204" t="s">
        <v>1136</v>
      </c>
      <c r="M42" s="1204" t="s">
        <v>1494</v>
      </c>
      <c r="N42" s="1204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4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4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4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4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4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4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4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4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4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4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4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4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4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4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1">
        <v>45912</v>
      </c>
      <c r="B489" s="480" t="s">
        <v>16</v>
      </c>
      <c r="C489" s="480">
        <v>3750</v>
      </c>
      <c r="D489" s="699">
        <v>15.53</v>
      </c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4" t="str">
        <f ca="1">IFERROR(_xlfn.XLOOKUP(B489,TabCalc[Ticker],TabCalc[Cur]),"")</f>
        <v>EUR</v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1">
        <v>45912</v>
      </c>
      <c r="B490" s="480" t="s">
        <v>29</v>
      </c>
      <c r="C490" s="480">
        <v>2000</v>
      </c>
      <c r="D490" s="699">
        <v>79.260000000000005</v>
      </c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4" t="str">
        <f ca="1">IFERROR(_xlfn.XLOOKUP(B490,TabCalc[Ticker],TabCalc[Cur]),"")</f>
        <v>USD</v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501"/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4" t="str">
        <f ca="1">IFERROR(_xlfn.XLOOKUP(B491,TabCalc[Ticker],TabCalc[Cur]),"")</f>
        <v/>
      </c>
      <c r="K491" s="894" cm="1">
        <f t="array" aca="1" ref="K491" ca="1">IFERROR(IF($A491=$A490,0,SUM(_xlfn._xlws.FILTER($E491:$E501,($A491:$A501=$A491)*($J491:$J501=K$42)))),0)</f>
        <v>0</v>
      </c>
      <c r="L491" s="894" cm="1">
        <f t="array" aca="1" ref="L491" ca="1">IFERROR(IF($A491=$A490,0,SUM(_xlfn._xlws.FILTER($E491:$E501,($A491:$A501=$A491)*($J491:$J501=L$42)))),0)</f>
        <v>0</v>
      </c>
      <c r="M491" s="894" cm="1">
        <f t="array" aca="1" ref="M491" ca="1">IFERROR(IF($A491=$A490,0,SUM(_xlfn._xlws.FILTER($E491:$E501,($A491:$A501=$A491)*($J491:$J501=M$42)))),0)</f>
        <v>0</v>
      </c>
      <c r="N491" s="894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4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4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t="e" cm="1">
        <f t="array" ref="F494">IF(#REF!=A493,0,SUM(_xlfn._xlws.FILTER(E494:E504,A494:A504=#REF!)))</f>
        <v>#REF!</v>
      </c>
      <c r="G494" s="1060" t="e">
        <f>IF(F494&lt;&gt;0,SUM($F$43:F494),0)</f>
        <v>#REF!</v>
      </c>
      <c r="H494" s="1060" cm="1">
        <f t="array" ref="H494">IFERROR(IF(#REF!=A493,0,SUM(_xlfn._xlws.FILTER(E494:E504,(A494:A504=#REF!)*(F494&gt;0)))),0)</f>
        <v>0</v>
      </c>
      <c r="I494" s="1060" cm="1">
        <f t="array" ref="I494">IFERROR(IF(#REF!=A493,0,SUM(_xlfn._xlws.FILTER(E494:E504,(A494:A504=#REF!)*(F494&lt;0)))),0)</f>
        <v>0</v>
      </c>
      <c r="J494" s="1204" t="str">
        <f ca="1">IFERROR(_xlfn.XLOOKUP(A494,TabCalc[Ticker],TabCalc[Cur]),"")</f>
        <v/>
      </c>
      <c r="K494" s="894" cm="1">
        <f t="array" ref="K494">IFERROR(IF(#REF!=$A493,0,SUM(_xlfn._xlws.FILTER($E494:$E504,($A494:$A504=#REF!)*($J494:$J504=K$42)))),0)</f>
        <v>0</v>
      </c>
      <c r="L494" s="894" cm="1">
        <f t="array" ref="L494">IFERROR(IF(#REF!=$A493,0,SUM(_xlfn._xlws.FILTER($E494:$E504,($A494:$A504=#REF!)*($J494:$J504=L$42)))),0)</f>
        <v>0</v>
      </c>
      <c r="M494" s="894" cm="1">
        <f t="array" ref="M494">IFERROR(IF(#REF!=$A493,0,SUM(_xlfn._xlws.FILTER($E494:$E504,($A494:$A504=#REF!)*($J494:$J504=M$42)))),0)</f>
        <v>0</v>
      </c>
      <c r="N494" s="894" cm="1">
        <f t="array" ref="N494">IFERROR(IF(#REF!=$A493,0,SUM(_xlfn._xlws.FILTER($E494:$E504,($A494:$A504=#REF!)*($J494:$J504=N$42)))),0)</f>
        <v>0</v>
      </c>
    </row>
    <row r="495" spans="1:14" ht="24" thickTop="1" thickBot="1" x14ac:dyDescent="0.35">
      <c r="D495" s="699"/>
      <c r="E495" s="1064"/>
      <c r="F495" s="894" t="e" cm="1">
        <f t="array" ref="F495">IF(A495=#REF!,0,SUM(_xlfn._xlws.FILTER(E495:E505,A495:A505=A495)))</f>
        <v>#REF!</v>
      </c>
      <c r="G495" s="1060" t="e">
        <f>IF(F495&lt;&gt;0,SUM($F$43:F495),0)</f>
        <v>#REF!</v>
      </c>
      <c r="H495" s="1060" cm="1">
        <f t="array" ref="H495">IFERROR(IF(A495=#REF!,0,SUM(_xlfn._xlws.FILTER(E495:E505,(A495:A505=A495)*(F495&gt;0)))),0)</f>
        <v>0</v>
      </c>
      <c r="I495" s="1060" cm="1">
        <f t="array" ref="I495">IFERROR(IF(A495=#REF!,0,SUM(_xlfn._xlws.FILTER(E495:E505,(A495:A505=A495)*(F495&lt;0)))),0)</f>
        <v>0</v>
      </c>
      <c r="J495" s="1204" t="str">
        <f ca="1">IFERROR(_xlfn.XLOOKUP(B495,TabCalc[Ticker],TabCalc[Cur]),"")</f>
        <v/>
      </c>
      <c r="K495" s="894" cm="1">
        <f t="array" ref="K495">IFERROR(IF($A495=#REF!,0,SUM(_xlfn._xlws.FILTER($E495:$E505,($A495:$A505=$A495)*($J495:$J505=K$42)))),0)</f>
        <v>0</v>
      </c>
      <c r="L495" s="894" cm="1">
        <f t="array" ref="L495">IFERROR(IF($A495=#REF!,0,SUM(_xlfn._xlws.FILTER($E495:$E505,($A495:$A505=$A495)*($J495:$J505=L$42)))),0)</f>
        <v>0</v>
      </c>
      <c r="M495" s="894" cm="1">
        <f t="array" ref="M495">IFERROR(IF($A495=#REF!,0,SUM(_xlfn._xlws.FILTER($E495:$E505,($A495:$A505=$A495)*($J495:$J505=M$42)))),0)</f>
        <v>0</v>
      </c>
      <c r="N495" s="894" cm="1">
        <f t="array" ref="N495">IFERROR(IF($A495=#REF!,0,SUM(_xlfn._xlws.FILTER($E495:$E505,($A495:$A505=$A495)*($J495:$J505=N$42)))),0)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4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4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4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4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4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/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4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/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4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/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4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/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4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4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4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4" t="str">
        <f ca="1">IFERROR(_xlfn.XLOOKUP(B507,TabCalc[Ticker],TabCalc[Cur]),"")</f>
        <v/>
      </c>
    </row>
    <row r="508" spans="4:14" x14ac:dyDescent="0.3">
      <c r="D508" s="699"/>
      <c r="J508" s="1204" t="str">
        <f ca="1">IFERROR(_xlfn.XLOOKUP(B508,TabCalc[Ticker],TabCalc[Cur]),"")</f>
        <v/>
      </c>
    </row>
    <row r="509" spans="4:14" x14ac:dyDescent="0.3">
      <c r="D509" s="699"/>
      <c r="J509" s="1204" t="str">
        <f ca="1">IFERROR(_xlfn.XLOOKUP(B509,TabCalc[Ticker],TabCalc[Cur]),"")</f>
        <v/>
      </c>
    </row>
    <row r="510" spans="4:14" x14ac:dyDescent="0.3">
      <c r="D510" s="699"/>
      <c r="J510" s="1204" t="str">
        <f ca="1">IFERROR(_xlfn.XLOOKUP(B510,TabCalc[Ticker],TabCalc[Cur]),"")</f>
        <v/>
      </c>
    </row>
    <row r="511" spans="4:14" x14ac:dyDescent="0.3">
      <c r="D511" s="699"/>
      <c r="J511" s="1204" t="str">
        <f ca="1">IFERROR(_xlfn.XLOOKUP(B511,TabCalc[Ticker],TabCalc[Cur]),"")</f>
        <v/>
      </c>
    </row>
    <row r="512" spans="4:14" x14ac:dyDescent="0.3">
      <c r="D512" s="699"/>
      <c r="J512" s="1204" t="str">
        <f ca="1">IFERROR(_xlfn.XLOOKUP(B512,TabCalc[Ticker],TabCalc[Cur]),"")</f>
        <v/>
      </c>
    </row>
    <row r="513" spans="4:10" x14ac:dyDescent="0.3">
      <c r="D513" s="699"/>
      <c r="J513" s="1204" t="str">
        <f ca="1">IFERROR(_xlfn.XLOOKUP(B513,TabCalc[Ticker],TabCalc[Cur]),"")</f>
        <v/>
      </c>
    </row>
    <row r="514" spans="4:10" x14ac:dyDescent="0.3">
      <c r="D514" s="699"/>
      <c r="J514" s="1204" t="str">
        <f ca="1">IFERROR(_xlfn.XLOOKUP(B514,TabCalc[Ticker],TabCalc[Cur]),"")</f>
        <v/>
      </c>
    </row>
    <row r="515" spans="4:10" x14ac:dyDescent="0.3">
      <c r="J515" s="1204" t="str">
        <f ca="1">IFERROR(_xlfn.XLOOKUP(B515,TabCalc[Ticker],TabCalc[Cur]),"")</f>
        <v/>
      </c>
    </row>
    <row r="516" spans="4:10" x14ac:dyDescent="0.3">
      <c r="J516" s="1204" t="str">
        <f ca="1">IFERROR(_xlfn.XLOOKUP(B516,TabCalc[Ticker],TabCalc[Cur]),"")</f>
        <v/>
      </c>
    </row>
    <row r="517" spans="4:10" x14ac:dyDescent="0.3">
      <c r="J517" s="1204" t="str">
        <f ca="1">IFERROR(_xlfn.XLOOKUP(B517,TabCalc[Ticker],TabCalc[Cur]),"")</f>
        <v/>
      </c>
    </row>
    <row r="518" spans="4:10" x14ac:dyDescent="0.3">
      <c r="J518" s="1204" t="str">
        <f ca="1">IFERROR(_xlfn.XLOOKUP(B518,TabCalc[Ticker],TabCalc[Cur]),"")</f>
        <v/>
      </c>
    </row>
    <row r="519" spans="4:10" x14ac:dyDescent="0.3">
      <c r="J519" s="1204" t="str">
        <f ca="1">IFERROR(_xlfn.XLOOKUP(B519,TabCalc[Ticker],TabCalc[Cur]),"")</f>
        <v/>
      </c>
    </row>
    <row r="520" spans="4:10" x14ac:dyDescent="0.3">
      <c r="J520" s="1204" t="str">
        <f ca="1">IFERROR(_xlfn.XLOOKUP(B520,TabCalc[Ticker],TabCalc[Cur]),"")</f>
        <v/>
      </c>
    </row>
    <row r="521" spans="4:10" x14ac:dyDescent="0.3">
      <c r="J521" s="1204" t="str">
        <f ca="1">IFERROR(_xlfn.XLOOKUP(B521,TabCalc[Ticker],TabCalc[Cur]),"")</f>
        <v/>
      </c>
    </row>
    <row r="522" spans="4:10" x14ac:dyDescent="0.3">
      <c r="J522" s="1204" t="str">
        <f ca="1">IFERROR(_xlfn.XLOOKUP(B522,TabCalc[Ticker],TabCalc[Cur]),"")</f>
        <v/>
      </c>
    </row>
    <row r="523" spans="4:10" x14ac:dyDescent="0.3">
      <c r="J523" s="1204" t="str">
        <f ca="1">IFERROR(_xlfn.XLOOKUP(B523,TabCalc[Ticker],TabCalc[Cur]),"")</f>
        <v/>
      </c>
    </row>
    <row r="524" spans="4:10" x14ac:dyDescent="0.3">
      <c r="J524" s="1204" t="str">
        <f ca="1">IFERROR(_xlfn.XLOOKUP(B524,TabCalc[Ticker],TabCalc[Cur]),"")</f>
        <v/>
      </c>
    </row>
    <row r="525" spans="4:10" x14ac:dyDescent="0.3">
      <c r="J525" s="1204" t="str">
        <f ca="1">IFERROR(_xlfn.XLOOKUP(B525,TabCalc[Ticker],TabCalc[Cur]),"")</f>
        <v/>
      </c>
    </row>
    <row r="526" spans="4:10" x14ac:dyDescent="0.3">
      <c r="J526" s="1204" t="str">
        <f ca="1">IFERROR(_xlfn.XLOOKUP(B526,TabCalc[Ticker],TabCalc[Cur]),"")</f>
        <v/>
      </c>
    </row>
    <row r="527" spans="4:10" x14ac:dyDescent="0.3">
      <c r="J527" s="1204" t="str">
        <f ca="1">IFERROR(_xlfn.XLOOKUP(B527,TabCalc[Ticker],TabCalc[Cur]),"")</f>
        <v/>
      </c>
    </row>
    <row r="528" spans="4:10" x14ac:dyDescent="0.3">
      <c r="J528" s="1204" t="str">
        <f ca="1">IFERROR(_xlfn.XLOOKUP(B528,TabCalc[Ticker],TabCalc[Cur]),"")</f>
        <v/>
      </c>
    </row>
    <row r="529" spans="10:10" x14ac:dyDescent="0.3">
      <c r="J529" s="1204" t="str">
        <f ca="1">IFERROR(_xlfn.XLOOKUP(B529,TabCalc[Ticker],TabCalc[Cur]),"")</f>
        <v/>
      </c>
    </row>
    <row r="530" spans="10:10" x14ac:dyDescent="0.3">
      <c r="J530" s="1204" t="str">
        <f ca="1">IFERROR(_xlfn.XLOOKUP(B530,TabCalc[Ticker],TabCalc[Cur]),"")</f>
        <v/>
      </c>
    </row>
    <row r="531" spans="10:10" x14ac:dyDescent="0.3">
      <c r="J531" s="1204" t="str">
        <f ca="1">IFERROR(_xlfn.XLOOKUP(B531,TabCalc[Ticker],TabCalc[Cur]),"")</f>
        <v/>
      </c>
    </row>
    <row r="532" spans="10:10" x14ac:dyDescent="0.3">
      <c r="J532" s="1204" t="str">
        <f ca="1">IFERROR(_xlfn.XLOOKUP(B532,TabCalc[Ticker],TabCalc[Cur]),"")</f>
        <v/>
      </c>
    </row>
    <row r="533" spans="10:10" x14ac:dyDescent="0.3">
      <c r="J533" s="1204" t="str">
        <f ca="1">IFERROR(_xlfn.XLOOKUP(B533,TabCalc[Ticker],TabCalc[Cur]),"")</f>
        <v/>
      </c>
    </row>
    <row r="534" spans="10:10" x14ac:dyDescent="0.3">
      <c r="J534" s="1204" t="str">
        <f ca="1">IFERROR(_xlfn.XLOOKUP(B534,TabCalc[Ticker],TabCalc[Cur]),"")</f>
        <v/>
      </c>
    </row>
    <row r="535" spans="10:10" x14ac:dyDescent="0.3">
      <c r="J535" s="1204" t="str">
        <f ca="1">IFERROR(_xlfn.XLOOKUP(B535,TabCalc[Ticker],TabCalc[Cur]),"")</f>
        <v/>
      </c>
    </row>
    <row r="536" spans="10:10" x14ac:dyDescent="0.3">
      <c r="J536" s="1204" t="str">
        <f ca="1">IFERROR(_xlfn.XLOOKUP(B536,TabCalc[Ticker],TabCalc[Cur]),"")</f>
        <v/>
      </c>
    </row>
    <row r="537" spans="10:10" x14ac:dyDescent="0.3">
      <c r="J537" s="1204" t="str">
        <f ca="1">IFERROR(_xlfn.XLOOKUP(B537,TabCalc[Ticker],TabCalc[Cur]),"")</f>
        <v/>
      </c>
    </row>
    <row r="538" spans="10:10" x14ac:dyDescent="0.3">
      <c r="J538" s="1204" t="str">
        <f ca="1">IFERROR(_xlfn.XLOOKUP(B538,TabCalc[Ticker],TabCalc[Cur]),"")</f>
        <v/>
      </c>
    </row>
    <row r="539" spans="10:10" x14ac:dyDescent="0.3">
      <c r="J539" s="1204" t="str">
        <f ca="1">IFERROR(_xlfn.XLOOKUP(B539,TabCalc[Ticker],TabCalc[Cur]),"")</f>
        <v/>
      </c>
    </row>
    <row r="540" spans="10:10" x14ac:dyDescent="0.3">
      <c r="J540" s="1204" t="str">
        <f ca="1">IFERROR(_xlfn.XLOOKUP(B540,TabCalc[Ticker],TabCalc[Cur]),"")</f>
        <v/>
      </c>
    </row>
    <row r="541" spans="10:10" x14ac:dyDescent="0.3">
      <c r="J541" s="1204" t="str">
        <f ca="1">IFERROR(_xlfn.XLOOKUP(B541,TabCalc[Ticker],TabCalc[Cur]),"")</f>
        <v/>
      </c>
    </row>
    <row r="542" spans="10:10" x14ac:dyDescent="0.3">
      <c r="J542" s="1204" t="str">
        <f ca="1">IFERROR(_xlfn.XLOOKUP(B542,TabCalc[Ticker],TabCalc[Cur]),"")</f>
        <v/>
      </c>
    </row>
    <row r="543" spans="10:10" x14ac:dyDescent="0.3">
      <c r="J543" s="1204" t="str">
        <f ca="1">IFERROR(_xlfn.XLOOKUP(B543,TabCalc[Ticker],TabCalc[Cur]),"")</f>
        <v/>
      </c>
    </row>
    <row r="544" spans="10:10" x14ac:dyDescent="0.3">
      <c r="J544" s="1204" t="str">
        <f ca="1">IFERROR(_xlfn.XLOOKUP(B544,TabCalc[Ticker],TabCalc[Cur]),"")</f>
        <v/>
      </c>
    </row>
    <row r="545" spans="10:10" x14ac:dyDescent="0.3">
      <c r="J545" s="1204" t="str">
        <f ca="1">IFERROR(_xlfn.XLOOKUP(B545,TabCalc[Ticker],TabCalc[Cur]),"")</f>
        <v/>
      </c>
    </row>
    <row r="546" spans="10:10" x14ac:dyDescent="0.3">
      <c r="J546" s="1204" t="str">
        <f ca="1">IFERROR(_xlfn.XLOOKUP(B546,TabCalc[Ticker],TabCalc[Cur]),"")</f>
        <v/>
      </c>
    </row>
    <row r="547" spans="10:10" x14ac:dyDescent="0.3">
      <c r="J547" s="1204" t="str">
        <f ca="1">IFERROR(_xlfn.XLOOKUP(B547,TabCalc[Ticker],TabCalc[Cur]),"")</f>
        <v/>
      </c>
    </row>
    <row r="548" spans="10:10" x14ac:dyDescent="0.3">
      <c r="J548" s="1204" t="str">
        <f ca="1">IFERROR(_xlfn.XLOOKUP(B548,TabCalc[Ticker],TabCalc[Cur]),"")</f>
        <v/>
      </c>
    </row>
    <row r="549" spans="10:10" x14ac:dyDescent="0.3">
      <c r="J549" s="1204" t="str">
        <f ca="1">IFERROR(_xlfn.XLOOKUP(B549,TabCalc[Ticker],TabCalc[Cur]),"")</f>
        <v/>
      </c>
    </row>
    <row r="550" spans="10:10" x14ac:dyDescent="0.3">
      <c r="J550" s="1204" t="str">
        <f ca="1">IFERROR(_xlfn.XLOOKUP(B550,TabCalc[Ticker],TabCalc[Cur]),"")</f>
        <v/>
      </c>
    </row>
    <row r="551" spans="10:10" x14ac:dyDescent="0.3">
      <c r="J551" s="1204" t="str">
        <f ca="1">IFERROR(_xlfn.XLOOKUP(B551,TabCalc[Ticker],TabCalc[Cur]),"")</f>
        <v/>
      </c>
    </row>
    <row r="552" spans="10:10" x14ac:dyDescent="0.3">
      <c r="J552" s="1204" t="str">
        <f ca="1">IFERROR(_xlfn.XLOOKUP(B552,TabCalc[Ticker],TabCalc[Cur]),"")</f>
        <v/>
      </c>
    </row>
    <row r="553" spans="10:10" x14ac:dyDescent="0.3">
      <c r="J553" s="1204" t="str">
        <f ca="1">IFERROR(_xlfn.XLOOKUP(B553,TabCalc[Ticker],TabCalc[Cur]),"")</f>
        <v/>
      </c>
    </row>
    <row r="554" spans="10:10" x14ac:dyDescent="0.3">
      <c r="J554" s="1204" t="str">
        <f ca="1">IFERROR(_xlfn.XLOOKUP(B554,TabCalc[Ticker],TabCalc[Cur]),"")</f>
        <v/>
      </c>
    </row>
    <row r="555" spans="10:10" x14ac:dyDescent="0.3">
      <c r="J555" s="1204" t="str">
        <f ca="1">IFERROR(_xlfn.XLOOKUP(B555,TabCalc[Ticker],TabCalc[Cur]),"")</f>
        <v/>
      </c>
    </row>
    <row r="556" spans="10:10" x14ac:dyDescent="0.3">
      <c r="J556" s="1204" t="str">
        <f ca="1">IFERROR(_xlfn.XLOOKUP(B556,TabCalc[Ticker],TabCalc[Cur]),"")</f>
        <v/>
      </c>
    </row>
    <row r="557" spans="10:10" x14ac:dyDescent="0.3">
      <c r="J557" s="1204" t="str">
        <f ca="1">IFERROR(_xlfn.XLOOKUP(B557,TabCalc[Ticker],TabCalc[Cur]),"")</f>
        <v/>
      </c>
    </row>
    <row r="558" spans="10:10" x14ac:dyDescent="0.3">
      <c r="J558" s="1204" t="str">
        <f ca="1">IFERROR(_xlfn.XLOOKUP(B558,TabCalc[Ticker],TabCalc[Cur]),"")</f>
        <v/>
      </c>
    </row>
    <row r="559" spans="10:10" x14ac:dyDescent="0.3">
      <c r="J559" s="1204" t="str">
        <f ca="1">IFERROR(_xlfn.XLOOKUP(B559,TabCalc[Ticker],TabCalc[Cur]),"")</f>
        <v/>
      </c>
    </row>
    <row r="560" spans="10:10" x14ac:dyDescent="0.3">
      <c r="J560" s="1204" t="str">
        <f ca="1">IFERROR(_xlfn.XLOOKUP(B560,TabCalc[Ticker],TabCalc[Cur]),"")</f>
        <v/>
      </c>
    </row>
    <row r="561" spans="10:10" x14ac:dyDescent="0.3">
      <c r="J561" s="1204" t="str">
        <f ca="1">IFERROR(_xlfn.XLOOKUP(B561,TabCalc[Ticker],TabCalc[Cur]),"")</f>
        <v/>
      </c>
    </row>
    <row r="562" spans="10:10" x14ac:dyDescent="0.3">
      <c r="J562" s="1204" t="str">
        <f ca="1">IFERROR(_xlfn.XLOOKUP(B562,TabCalc[Ticker],TabCalc[Cur]),"")</f>
        <v/>
      </c>
    </row>
    <row r="563" spans="10:10" x14ac:dyDescent="0.3">
      <c r="J563" s="1204" t="str">
        <f ca="1">IFERROR(_xlfn.XLOOKUP(B563,TabCalc[Ticker],TabCalc[Cur]),"")</f>
        <v/>
      </c>
    </row>
    <row r="564" spans="10:10" x14ac:dyDescent="0.3">
      <c r="J564" s="1204" t="str">
        <f ca="1">IFERROR(_xlfn.XLOOKUP(B564,TabCalc[Ticker],TabCalc[Cur]),"")</f>
        <v/>
      </c>
    </row>
    <row r="565" spans="10:10" x14ac:dyDescent="0.3">
      <c r="J565" s="1204" t="str">
        <f ca="1">IFERROR(_xlfn.XLOOKUP(B565,TabCalc[Ticker],TabCalc[Cur]),"")</f>
        <v/>
      </c>
    </row>
    <row r="566" spans="10:10" x14ac:dyDescent="0.3">
      <c r="J566" s="1204" t="str">
        <f ca="1">IFERROR(_xlfn.XLOOKUP(B566,TabCalc[Ticker],TabCalc[Cur]),"")</f>
        <v/>
      </c>
    </row>
    <row r="567" spans="10:10" x14ac:dyDescent="0.3">
      <c r="J567" s="1204" t="str">
        <f ca="1">IFERROR(_xlfn.XLOOKUP(B567,TabCalc[Ticker],TabCalc[Cur]),"")</f>
        <v/>
      </c>
    </row>
    <row r="568" spans="10:10" x14ac:dyDescent="0.3">
      <c r="J568" s="1204" t="str">
        <f ca="1">IFERROR(_xlfn.XLOOKUP(B568,TabCalc[Ticker],TabCalc[Cur]),"")</f>
        <v/>
      </c>
    </row>
    <row r="569" spans="10:10" x14ac:dyDescent="0.3">
      <c r="J569" s="1204" t="str">
        <f ca="1">IFERROR(_xlfn.XLOOKUP(B569,TabCalc[Ticker],TabCalc[Cur]),"")</f>
        <v/>
      </c>
    </row>
    <row r="570" spans="10:10" x14ac:dyDescent="0.3">
      <c r="J570" s="1204" t="str">
        <f ca="1">IFERROR(_xlfn.XLOOKUP(B570,TabCalc[Ticker],TabCalc[Cur]),"")</f>
        <v/>
      </c>
    </row>
    <row r="571" spans="10:10" x14ac:dyDescent="0.3">
      <c r="J571" s="1204" t="str">
        <f ca="1">IFERROR(_xlfn.XLOOKUP(B571,TabCalc[Ticker],TabCalc[Cur]),"")</f>
        <v/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2" activePane="bottomRight" state="frozen"/>
      <selection activeCell="B1" sqref="B1"/>
      <selection pane="topRight" activeCell="C1" sqref="C1"/>
      <selection pane="bottomLeft" activeCell="B2" sqref="B2"/>
      <selection pane="bottomRight" activeCell="K24" sqref="K24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2613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5">
        <v>0.79600000000000004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1994816.24</v>
      </c>
      <c r="R2" s="314">
        <v>5.9963310964721538E-2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4">
        <v>1.3559000000000001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1047854.94</v>
      </c>
      <c r="R3" s="314">
        <v>3.1498065011311326E-2</v>
      </c>
    </row>
    <row r="4" spans="2:25" x14ac:dyDescent="0.3">
      <c r="B4" s="311" t="s">
        <v>1146</v>
      </c>
      <c r="C4" s="311" t="s">
        <v>1147</v>
      </c>
      <c r="D4" s="312">
        <v>973186.01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971724.45</v>
      </c>
      <c r="N4" s="312">
        <v>-1461.56</v>
      </c>
      <c r="O4" s="311" t="s">
        <v>1747</v>
      </c>
      <c r="P4" s="311" t="s">
        <v>1747</v>
      </c>
      <c r="Q4" s="312">
        <v>971724.45</v>
      </c>
      <c r="R4" s="314">
        <v>2.9209615501913599E-2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0.66490000000000005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2054955.91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1.1609</v>
      </c>
      <c r="K6" s="311" t="s">
        <v>1747</v>
      </c>
      <c r="L6" s="604">
        <v>1.1728000000000001</v>
      </c>
      <c r="M6" s="312">
        <v>2054955.91</v>
      </c>
      <c r="N6" s="312">
        <v>0</v>
      </c>
      <c r="O6" s="311" t="s">
        <v>1747</v>
      </c>
      <c r="P6" s="311" t="s">
        <v>1747</v>
      </c>
      <c r="Q6" s="312">
        <v>2410051.88</v>
      </c>
      <c r="R6" s="314">
        <v>7.244511420337732E-2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147.19370000000001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11236.9</v>
      </c>
      <c r="R7" s="314">
        <v>3.3777634023045619E-4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302343.33</v>
      </c>
      <c r="N8" s="312">
        <v>2343.33</v>
      </c>
      <c r="O8" s="314">
        <v>0</v>
      </c>
      <c r="P8" s="312">
        <v>0</v>
      </c>
      <c r="Q8" s="312">
        <v>302343.33</v>
      </c>
      <c r="R8" s="314">
        <v>9.088309364725957E-3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2.12</v>
      </c>
      <c r="L9" s="311" t="s">
        <v>1747</v>
      </c>
      <c r="M9" s="312">
        <v>212000</v>
      </c>
      <c r="N9" s="312">
        <v>0</v>
      </c>
      <c r="O9" s="314">
        <v>-0.51989619249825569</v>
      </c>
      <c r="P9" s="312">
        <v>-229571.17</v>
      </c>
      <c r="Q9" s="312">
        <v>212000</v>
      </c>
      <c r="R9" s="314">
        <v>6.3726280494492893E-3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15.11</v>
      </c>
      <c r="L10" s="311" t="s">
        <v>1747</v>
      </c>
      <c r="M10" s="312">
        <v>90660</v>
      </c>
      <c r="N10" s="312">
        <v>0</v>
      </c>
      <c r="O10" s="314">
        <v>0.15432905864885441</v>
      </c>
      <c r="P10" s="312">
        <v>12120.87</v>
      </c>
      <c r="Q10" s="312">
        <v>90660</v>
      </c>
      <c r="R10" s="314">
        <v>2.7252002781277007E-3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0.51200000000000001</v>
      </c>
      <c r="L11" s="604">
        <v>1.3559000000000001</v>
      </c>
      <c r="M11" s="312">
        <v>399360</v>
      </c>
      <c r="N11" s="312">
        <v>0</v>
      </c>
      <c r="O11" s="314">
        <v>9.9643141314983238E-2</v>
      </c>
      <c r="P11" s="312">
        <v>49065.06</v>
      </c>
      <c r="Q11" s="312">
        <v>541472.86</v>
      </c>
      <c r="R11" s="314">
        <v>1.6276439319110981E-2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230.33</v>
      </c>
      <c r="L12" s="311" t="s">
        <v>1747</v>
      </c>
      <c r="M12" s="312">
        <v>2810026</v>
      </c>
      <c r="N12" s="312">
        <v>0</v>
      </c>
      <c r="O12" s="314">
        <v>0.17061800814506806</v>
      </c>
      <c r="P12" s="312">
        <v>409562.33</v>
      </c>
      <c r="Q12" s="312">
        <v>2810026</v>
      </c>
      <c r="R12" s="314">
        <v>8.4468162770197128E-2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10800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195.69855277777779</v>
      </c>
      <c r="J13" s="311" t="s">
        <v>1747</v>
      </c>
      <c r="K13" s="312">
        <v>226.79</v>
      </c>
      <c r="L13" s="311" t="s">
        <v>1747</v>
      </c>
      <c r="M13" s="312">
        <v>2449332</v>
      </c>
      <c r="N13" s="312">
        <v>0</v>
      </c>
      <c r="O13" s="314">
        <v>0.15887418062578929</v>
      </c>
      <c r="P13" s="312">
        <v>335787.63</v>
      </c>
      <c r="Q13" s="312">
        <v>2449332</v>
      </c>
      <c r="R13" s="314">
        <v>7.3625857573649658E-2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686</v>
      </c>
      <c r="L14" s="604">
        <v>1.1728000000000001</v>
      </c>
      <c r="M14" s="312">
        <v>3155600</v>
      </c>
      <c r="N14" s="312">
        <v>0</v>
      </c>
      <c r="O14" s="314">
        <v>6.1206808639997626E-2</v>
      </c>
      <c r="P14" s="312">
        <v>213454.61</v>
      </c>
      <c r="Q14" s="312">
        <v>3700887.05</v>
      </c>
      <c r="R14" s="314">
        <v>0.11124705954091337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80.81</v>
      </c>
      <c r="L15" s="311" t="s">
        <v>1747</v>
      </c>
      <c r="M15" s="312">
        <v>80810</v>
      </c>
      <c r="N15" s="312">
        <v>0</v>
      </c>
      <c r="O15" s="314">
        <v>0.13656437727917656</v>
      </c>
      <c r="P15" s="312">
        <v>9709.76</v>
      </c>
      <c r="Q15" s="312">
        <v>80810</v>
      </c>
      <c r="R15" s="314">
        <v>2.4291135503584768E-3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1.93</v>
      </c>
      <c r="L16" s="311" t="s">
        <v>1747</v>
      </c>
      <c r="M16" s="312">
        <v>50180</v>
      </c>
      <c r="N16" s="312">
        <v>0</v>
      </c>
      <c r="O16" s="314">
        <v>1.0639508432032478E-2</v>
      </c>
      <c r="P16" s="312">
        <v>528.27</v>
      </c>
      <c r="Q16" s="312">
        <v>50180</v>
      </c>
      <c r="R16" s="314">
        <v>1.5083890354781384E-3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2.97</v>
      </c>
      <c r="L17" s="311" t="s">
        <v>1747</v>
      </c>
      <c r="M17" s="312">
        <v>37125</v>
      </c>
      <c r="N17" s="312">
        <v>0</v>
      </c>
      <c r="O17" s="314">
        <v>-0.76650239966348677</v>
      </c>
      <c r="P17" s="312">
        <v>-121870.21</v>
      </c>
      <c r="Q17" s="312">
        <v>37125</v>
      </c>
      <c r="R17" s="314">
        <v>1.1159613978104002E-3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369.57</v>
      </c>
      <c r="L18" s="311" t="s">
        <v>1747</v>
      </c>
      <c r="M18" s="312">
        <v>129349.5</v>
      </c>
      <c r="N18" s="312">
        <v>0</v>
      </c>
      <c r="O18" s="314">
        <v>0.74154579583026414</v>
      </c>
      <c r="P18" s="312">
        <v>55076.69</v>
      </c>
      <c r="Q18" s="312">
        <v>129349.5</v>
      </c>
      <c r="R18" s="314">
        <v>3.8881898673690605E-3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68.13</v>
      </c>
      <c r="L19" s="311" t="s">
        <v>1747</v>
      </c>
      <c r="M19" s="312">
        <v>68130</v>
      </c>
      <c r="N19" s="312">
        <v>0</v>
      </c>
      <c r="O19" s="314">
        <v>0.15500906562597744</v>
      </c>
      <c r="P19" s="312">
        <v>9143.4500000000007</v>
      </c>
      <c r="Q19" s="312">
        <v>68130</v>
      </c>
      <c r="R19" s="314">
        <v>2.0479582500423587E-3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97.17</v>
      </c>
      <c r="L20" s="311" t="s">
        <v>1747</v>
      </c>
      <c r="M20" s="312">
        <v>485.85</v>
      </c>
      <c r="N20" s="312">
        <v>0</v>
      </c>
      <c r="O20" s="314">
        <v>0.46230248306997745</v>
      </c>
      <c r="P20" s="312">
        <v>153.6</v>
      </c>
      <c r="Q20" s="312">
        <v>485.85</v>
      </c>
      <c r="R20" s="314">
        <v>1.4604440272759139E-5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73.97</v>
      </c>
      <c r="L21" s="311" t="s">
        <v>1747</v>
      </c>
      <c r="M21" s="312">
        <v>18492.5</v>
      </c>
      <c r="N21" s="312">
        <v>0</v>
      </c>
      <c r="O21" s="314">
        <v>0.31754628956735603</v>
      </c>
      <c r="P21" s="312">
        <v>4456.9399999999996</v>
      </c>
      <c r="Q21" s="312">
        <v>18492.5</v>
      </c>
      <c r="R21" s="314">
        <v>5.5587652926623106E-4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27.29</v>
      </c>
      <c r="L22" s="604">
        <v>1.1728000000000001</v>
      </c>
      <c r="M22" s="312">
        <v>163740</v>
      </c>
      <c r="N22" s="312">
        <v>0</v>
      </c>
      <c r="O22" s="314">
        <v>-0.11058500890622712</v>
      </c>
      <c r="P22" s="312">
        <v>-23876.49</v>
      </c>
      <c r="Q22" s="312">
        <v>192034.24</v>
      </c>
      <c r="R22" s="314">
        <v>5.7724659635786631E-3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132.26</v>
      </c>
      <c r="L23" s="311" t="s">
        <v>1747</v>
      </c>
      <c r="M23" s="312">
        <v>132260</v>
      </c>
      <c r="N23" s="312">
        <v>0</v>
      </c>
      <c r="O23" s="314">
        <v>-5.7846755989575768E-2</v>
      </c>
      <c r="P23" s="312">
        <v>-8120.56</v>
      </c>
      <c r="Q23" s="312">
        <v>132260</v>
      </c>
      <c r="R23" s="314">
        <v>3.9756782350007687E-3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0.88800000000000001</v>
      </c>
      <c r="L24" s="604">
        <v>1.1728000000000001</v>
      </c>
      <c r="M24" s="312">
        <v>59451.6</v>
      </c>
      <c r="N24" s="312">
        <v>0</v>
      </c>
      <c r="O24" s="314">
        <v>-0.13800967434422115</v>
      </c>
      <c r="P24" s="312">
        <v>-11163.35</v>
      </c>
      <c r="Q24" s="312">
        <v>69724.820000000007</v>
      </c>
      <c r="R24" s="314">
        <v>2.0958978475226547E-3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14.22</v>
      </c>
      <c r="L25" s="311" t="s">
        <v>1747</v>
      </c>
      <c r="M25" s="312">
        <v>85320</v>
      </c>
      <c r="N25" s="312">
        <v>0</v>
      </c>
      <c r="O25" s="314">
        <v>-0.15028705199601874</v>
      </c>
      <c r="P25" s="312">
        <v>-15090.38</v>
      </c>
      <c r="Q25" s="312">
        <v>85320</v>
      </c>
      <c r="R25" s="314">
        <v>2.5646821942406296E-3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6250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13.106841599999999</v>
      </c>
      <c r="J26" s="604">
        <v>1.1213</v>
      </c>
      <c r="K26" s="312">
        <v>15.295</v>
      </c>
      <c r="L26" s="604">
        <v>1.1728000000000001</v>
      </c>
      <c r="M26" s="312">
        <v>95593.75</v>
      </c>
      <c r="N26" s="312">
        <v>0</v>
      </c>
      <c r="O26" s="314">
        <v>0.22049901489019219</v>
      </c>
      <c r="P26" s="312">
        <v>20254.55</v>
      </c>
      <c r="Q26" s="312">
        <v>112112.33</v>
      </c>
      <c r="R26" s="314">
        <v>3.3700480134297882E-3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4.6559999999999997</v>
      </c>
      <c r="L27" s="604">
        <v>1.3559000000000001</v>
      </c>
      <c r="M27" s="312">
        <v>93120</v>
      </c>
      <c r="N27" s="312">
        <v>0</v>
      </c>
      <c r="O27" s="314">
        <v>-3.0989676631463389E-2</v>
      </c>
      <c r="P27" s="312">
        <v>-4037.79</v>
      </c>
      <c r="Q27" s="312">
        <v>126256.89</v>
      </c>
      <c r="R27" s="314">
        <v>3.7952273521237429E-3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1.5029783135493606E-6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2.5700929161694066E-4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14.922000000000001</v>
      </c>
      <c r="L30" s="604">
        <v>1.1728000000000001</v>
      </c>
      <c r="M30" s="312">
        <v>149.22</v>
      </c>
      <c r="N30" s="312">
        <v>0</v>
      </c>
      <c r="O30" s="314">
        <v>0.11913288144263973</v>
      </c>
      <c r="P30" s="312">
        <v>18.63</v>
      </c>
      <c r="Q30" s="312">
        <v>175.01</v>
      </c>
      <c r="R30" s="314">
        <v>5.2607246930854715E-6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6250</v>
      </c>
      <c r="X30" s="96">
        <f t="shared" si="0"/>
        <v>6250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0.2072</v>
      </c>
      <c r="L31" s="311" t="s">
        <v>1747</v>
      </c>
      <c r="M31" s="312">
        <v>6216</v>
      </c>
      <c r="N31" s="312">
        <v>0</v>
      </c>
      <c r="O31" s="314">
        <v>-0.90495866252252188</v>
      </c>
      <c r="P31" s="312">
        <v>-59187.12</v>
      </c>
      <c r="Q31" s="312">
        <v>6216</v>
      </c>
      <c r="R31" s="314">
        <v>1.8685026394045653E-4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1.04E-2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6.011913254197443E-10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112.5</v>
      </c>
      <c r="L33" s="311" t="s">
        <v>1747</v>
      </c>
      <c r="M33" s="312">
        <v>22500</v>
      </c>
      <c r="N33" s="312">
        <v>0</v>
      </c>
      <c r="O33" s="314">
        <v>5.3169619286203763E-2</v>
      </c>
      <c r="P33" s="312">
        <v>1135.92</v>
      </c>
      <c r="Q33" s="312">
        <v>22500</v>
      </c>
      <c r="R33" s="314">
        <v>6.7634024109721228E-4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5.08</v>
      </c>
      <c r="L34" s="311" t="s">
        <v>1747</v>
      </c>
      <c r="M34" s="312">
        <v>135468.35999999999</v>
      </c>
      <c r="N34" s="312">
        <v>0</v>
      </c>
      <c r="O34" s="314">
        <v>-0.48439286610624016</v>
      </c>
      <c r="P34" s="312">
        <v>-127267.26</v>
      </c>
      <c r="Q34" s="312">
        <v>135468.35999999999</v>
      </c>
      <c r="R34" s="314">
        <v>4.0721201450419527E-3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57.34</v>
      </c>
      <c r="L35" s="311" t="s">
        <v>1747</v>
      </c>
      <c r="M35" s="312">
        <v>573.4</v>
      </c>
      <c r="N35" s="312">
        <v>0</v>
      </c>
      <c r="O35" s="314">
        <v>0.22778467731574664</v>
      </c>
      <c r="P35" s="312">
        <v>106.38</v>
      </c>
      <c r="Q35" s="312">
        <v>573.4</v>
      </c>
      <c r="R35" s="314">
        <v>1.7236155299784069E-5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24.44</v>
      </c>
      <c r="L36" s="311" t="s">
        <v>1747</v>
      </c>
      <c r="M36" s="312">
        <v>293280</v>
      </c>
      <c r="N36" s="312">
        <v>0</v>
      </c>
      <c r="O36" s="314">
        <v>0.24599728470477153</v>
      </c>
      <c r="P36" s="312">
        <v>57902.28</v>
      </c>
      <c r="Q36" s="312">
        <v>293280</v>
      </c>
      <c r="R36" s="314">
        <v>8.8158695959551295E-3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28.37</v>
      </c>
      <c r="L37" s="311" t="s">
        <v>1747</v>
      </c>
      <c r="M37" s="312">
        <v>28370</v>
      </c>
      <c r="N37" s="312">
        <v>0</v>
      </c>
      <c r="O37" s="314">
        <v>0.13415670631617746</v>
      </c>
      <c r="P37" s="312">
        <v>3355.82</v>
      </c>
      <c r="Q37" s="312">
        <v>28370</v>
      </c>
      <c r="R37" s="314">
        <v>8.5278989510790724E-4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3.823</v>
      </c>
      <c r="L38" s="604">
        <v>1.3559000000000001</v>
      </c>
      <c r="M38" s="312">
        <v>1032210</v>
      </c>
      <c r="N38" s="312">
        <v>0</v>
      </c>
      <c r="O38" s="314">
        <v>1.1258382470967605</v>
      </c>
      <c r="P38" s="312">
        <v>741183.89</v>
      </c>
      <c r="Q38" s="312">
        <v>1399523.48</v>
      </c>
      <c r="R38" s="314">
        <v>4.2069068794862649E-2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67.03</v>
      </c>
      <c r="L39" s="311" t="s">
        <v>1747</v>
      </c>
      <c r="M39" s="312">
        <v>178299.8</v>
      </c>
      <c r="N39" s="312">
        <v>0</v>
      </c>
      <c r="O39" s="314">
        <v>2.9842596208950502E-2</v>
      </c>
      <c r="P39" s="312">
        <v>5166.74</v>
      </c>
      <c r="Q39" s="312">
        <v>178299.8</v>
      </c>
      <c r="R39" s="314">
        <v>5.3596146542037645E-3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6.14</v>
      </c>
      <c r="L40" s="311" t="s">
        <v>1747</v>
      </c>
      <c r="M40" s="312">
        <v>12280</v>
      </c>
      <c r="N40" s="312">
        <v>0</v>
      </c>
      <c r="O40" s="314">
        <v>0.37467969851080096</v>
      </c>
      <c r="P40" s="312">
        <v>3347.01</v>
      </c>
      <c r="Q40" s="312">
        <v>12280</v>
      </c>
      <c r="R40" s="314">
        <v>3.6913147380772296E-4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1.68</v>
      </c>
      <c r="L41" s="311" t="s">
        <v>1747</v>
      </c>
      <c r="M41" s="312">
        <v>870.24</v>
      </c>
      <c r="N41" s="312">
        <v>0</v>
      </c>
      <c r="O41" s="314">
        <v>-0.96041850211247781</v>
      </c>
      <c r="P41" s="312">
        <v>-21115.79</v>
      </c>
      <c r="Q41" s="312">
        <v>870.24</v>
      </c>
      <c r="R41" s="314">
        <v>2.6159036951663912E-5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500.37</v>
      </c>
      <c r="L42" s="311" t="s">
        <v>1747</v>
      </c>
      <c r="M42" s="312">
        <v>5103774</v>
      </c>
      <c r="N42" s="312">
        <v>0</v>
      </c>
      <c r="O42" s="314">
        <v>0.69168180657449407</v>
      </c>
      <c r="P42" s="312">
        <v>2086791.74</v>
      </c>
      <c r="Q42" s="312">
        <v>5103774</v>
      </c>
      <c r="R42" s="314">
        <v>0.15341723278514149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3812</v>
      </c>
      <c r="L43" s="604">
        <v>147.19370000000001</v>
      </c>
      <c r="M43" s="312">
        <v>88819600</v>
      </c>
      <c r="N43" s="312">
        <v>0</v>
      </c>
      <c r="O43" s="314">
        <v>0.83850648948034945</v>
      </c>
      <c r="P43" s="312">
        <v>275207.84999999998</v>
      </c>
      <c r="Q43" s="312">
        <v>603419.80000000005</v>
      </c>
      <c r="R43" s="314">
        <v>1.8138537467325851E-2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24.31</v>
      </c>
      <c r="L44" s="311" t="s">
        <v>1747</v>
      </c>
      <c r="M44" s="312">
        <v>291720</v>
      </c>
      <c r="N44" s="312">
        <v>0</v>
      </c>
      <c r="O44" s="314">
        <v>-0.6593418428819231</v>
      </c>
      <c r="P44" s="312">
        <v>-564622.32999999996</v>
      </c>
      <c r="Q44" s="312">
        <v>291720</v>
      </c>
      <c r="R44" s="314">
        <v>8.7689766725723896E-3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1247.71</v>
      </c>
      <c r="L45" s="311" t="s">
        <v>1747</v>
      </c>
      <c r="M45" s="312">
        <v>748626</v>
      </c>
      <c r="N45" s="312">
        <v>0</v>
      </c>
      <c r="O45" s="314">
        <v>0.222640929624286</v>
      </c>
      <c r="P45" s="312">
        <v>136323.57999999999</v>
      </c>
      <c r="Q45" s="312">
        <v>748626</v>
      </c>
      <c r="R45" s="314">
        <v>2.2503372859184075E-2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14200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44.039192957746479</v>
      </c>
      <c r="J46" s="311" t="s">
        <v>1747</v>
      </c>
      <c r="K46" s="312">
        <v>79.650000000000006</v>
      </c>
      <c r="L46" s="311" t="s">
        <v>1747</v>
      </c>
      <c r="M46" s="312">
        <v>1131030</v>
      </c>
      <c r="N46" s="312">
        <v>0</v>
      </c>
      <c r="O46" s="314">
        <v>0.80861624953982258</v>
      </c>
      <c r="P46" s="312">
        <v>505673.46</v>
      </c>
      <c r="Q46" s="312">
        <v>1131030</v>
      </c>
      <c r="R46" s="314">
        <v>3.3998271239474666E-2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71.040000000000006</v>
      </c>
      <c r="L47" s="311" t="s">
        <v>1747</v>
      </c>
      <c r="M47" s="312">
        <v>298368</v>
      </c>
      <c r="N47" s="312">
        <v>0</v>
      </c>
      <c r="O47" s="314">
        <v>-9.407700599392678E-4</v>
      </c>
      <c r="P47" s="312">
        <v>-280.95999999999998</v>
      </c>
      <c r="Q47" s="312">
        <v>298368</v>
      </c>
      <c r="R47" s="314">
        <v>8.9688126691419134E-3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4.7854829503411641E-4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36.24</v>
      </c>
      <c r="L49" s="311" t="s">
        <v>1747</v>
      </c>
      <c r="M49" s="312">
        <v>144960</v>
      </c>
      <c r="N49" s="312">
        <v>0</v>
      </c>
      <c r="O49" s="314">
        <v>0.48991853652505069</v>
      </c>
      <c r="P49" s="312">
        <v>47666.09</v>
      </c>
      <c r="Q49" s="312">
        <v>144960</v>
      </c>
      <c r="R49" s="314">
        <v>4.3574347266423065E-3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5.6</v>
      </c>
      <c r="L51" s="311" t="s">
        <v>1747</v>
      </c>
      <c r="M51" s="312">
        <v>280000</v>
      </c>
      <c r="N51" s="312">
        <v>0</v>
      </c>
      <c r="O51" s="314">
        <v>0.19168860189433373</v>
      </c>
      <c r="P51" s="312">
        <v>45039.29</v>
      </c>
      <c r="Q51" s="312">
        <v>280000</v>
      </c>
      <c r="R51" s="314">
        <v>8.4166785558764199E-3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0.99</v>
      </c>
      <c r="L52" s="311" t="s">
        <v>1747</v>
      </c>
      <c r="M52" s="312">
        <v>9900</v>
      </c>
      <c r="N52" s="312">
        <v>0</v>
      </c>
      <c r="O52" s="314">
        <v>-8.9769003600469285E-2</v>
      </c>
      <c r="P52" s="312">
        <v>-976.36</v>
      </c>
      <c r="Q52" s="312">
        <v>9900</v>
      </c>
      <c r="R52" s="314">
        <v>2.9758970608277343E-4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3.87</v>
      </c>
      <c r="L53" s="311" t="s">
        <v>1747</v>
      </c>
      <c r="M53" s="312">
        <v>7740</v>
      </c>
      <c r="N53" s="312">
        <v>0</v>
      </c>
      <c r="O53" s="314">
        <v>-0.45661483680191856</v>
      </c>
      <c r="P53" s="312">
        <v>-6504.04</v>
      </c>
      <c r="Q53" s="312">
        <v>7740</v>
      </c>
      <c r="R53" s="314">
        <v>2.3266104293744104E-4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36.479999999999997</v>
      </c>
      <c r="L54" s="311" t="s">
        <v>1747</v>
      </c>
      <c r="M54" s="312">
        <v>72960</v>
      </c>
      <c r="N54" s="312">
        <v>0</v>
      </c>
      <c r="O54" s="314">
        <v>0.91851718816272798</v>
      </c>
      <c r="P54" s="312">
        <v>34930.629999999997</v>
      </c>
      <c r="Q54" s="312">
        <v>72960</v>
      </c>
      <c r="R54" s="314">
        <v>2.1931459551312272E-3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6.011913254197443E-10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35.75</v>
      </c>
      <c r="L57" s="604">
        <v>1.1728000000000001</v>
      </c>
      <c r="M57" s="312">
        <v>1787.5</v>
      </c>
      <c r="N57" s="312">
        <v>0</v>
      </c>
      <c r="O57" s="314">
        <v>0.37445910151844958</v>
      </c>
      <c r="P57" s="312">
        <v>571.14</v>
      </c>
      <c r="Q57" s="312">
        <v>2096.38</v>
      </c>
      <c r="R57" s="314">
        <v>6.3016273539172183E-5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219.8</v>
      </c>
      <c r="L58" s="604">
        <v>1.1728000000000001</v>
      </c>
      <c r="M58" s="312">
        <v>549500</v>
      </c>
      <c r="N58" s="312">
        <v>0</v>
      </c>
      <c r="O58" s="314">
        <v>-9.2058026821513067E-2</v>
      </c>
      <c r="P58" s="312">
        <v>-65342.41</v>
      </c>
      <c r="Q58" s="312">
        <v>644453.49</v>
      </c>
      <c r="R58" s="314">
        <v>1.9371992391223995E-2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</v>
      </c>
      <c r="L59" s="311" t="s">
        <v>1747</v>
      </c>
      <c r="M59" s="312">
        <v>342700</v>
      </c>
      <c r="N59" s="312">
        <v>0</v>
      </c>
      <c r="O59" s="314">
        <v>-0.10861786531119705</v>
      </c>
      <c r="P59" s="312">
        <v>-41759.129999999997</v>
      </c>
      <c r="Q59" s="312">
        <v>342700</v>
      </c>
      <c r="R59" s="314">
        <v>1.0301413361067317E-2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17905</v>
      </c>
      <c r="L60" s="604">
        <v>147.19370000000001</v>
      </c>
      <c r="M60" s="312">
        <v>121754000</v>
      </c>
      <c r="N60" s="312">
        <v>0</v>
      </c>
      <c r="O60" s="314">
        <v>0.77055559163490206</v>
      </c>
      <c r="P60" s="312">
        <v>359988.3</v>
      </c>
      <c r="Q60" s="312">
        <v>827168.48</v>
      </c>
      <c r="R60" s="314">
        <v>2.4864325741831762E-2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9.8000000000000007</v>
      </c>
      <c r="L61" s="311" t="s">
        <v>1747</v>
      </c>
      <c r="M61" s="312">
        <v>156800</v>
      </c>
      <c r="N61" s="312">
        <v>0</v>
      </c>
      <c r="O61" s="314">
        <v>-0.72844812902925693</v>
      </c>
      <c r="P61" s="312">
        <v>-420621.91</v>
      </c>
      <c r="Q61" s="312">
        <v>156800</v>
      </c>
      <c r="R61" s="314">
        <v>4.7133399912907947E-3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260.44</v>
      </c>
      <c r="L62" s="311" t="s">
        <v>1747</v>
      </c>
      <c r="M62" s="312">
        <v>1432420</v>
      </c>
      <c r="N62" s="312">
        <v>0</v>
      </c>
      <c r="O62" s="314">
        <v>0.39160042141082785</v>
      </c>
      <c r="P62" s="312">
        <v>403087.17</v>
      </c>
      <c r="Q62" s="312">
        <v>1432420</v>
      </c>
      <c r="R62" s="314">
        <v>4.3057923917887514E-2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4.7268667961127391E-6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347.79</v>
      </c>
      <c r="L64" s="311" t="s">
        <v>1747</v>
      </c>
      <c r="M64" s="312">
        <v>3477.9</v>
      </c>
      <c r="N64" s="312">
        <v>0</v>
      </c>
      <c r="O64" s="314">
        <v>6.5082777502159017E-2</v>
      </c>
      <c r="P64" s="312">
        <v>212.52</v>
      </c>
      <c r="Q64" s="312">
        <v>3477.9</v>
      </c>
      <c r="R64" s="314">
        <v>1.0454416553386643E-4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2.1041696389691053E-9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115.79</v>
      </c>
      <c r="L66" s="311" t="s">
        <v>1747</v>
      </c>
      <c r="M66" s="312">
        <v>115790</v>
      </c>
      <c r="N66" s="312">
        <v>0</v>
      </c>
      <c r="O66" s="314">
        <v>1.0904304056686772E-2</v>
      </c>
      <c r="P66" s="312">
        <v>1248.99</v>
      </c>
      <c r="Q66" s="312">
        <v>115790</v>
      </c>
      <c r="R66" s="314">
        <v>3.4805971785176093E-3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35.799999999999997</v>
      </c>
      <c r="L67" s="604">
        <v>1.1728000000000001</v>
      </c>
      <c r="M67" s="312">
        <v>107400</v>
      </c>
      <c r="N67" s="312">
        <v>0</v>
      </c>
      <c r="O67" s="314">
        <v>-0.18639729567968369</v>
      </c>
      <c r="P67" s="312">
        <v>-28857.279999999999</v>
      </c>
      <c r="Q67" s="312">
        <v>125958.7</v>
      </c>
      <c r="R67" s="314">
        <v>3.7862638900573969E-3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6.85</v>
      </c>
      <c r="L68" s="311" t="s">
        <v>1747</v>
      </c>
      <c r="M68" s="312">
        <v>49559.75</v>
      </c>
      <c r="N68" s="312">
        <v>0</v>
      </c>
      <c r="O68" s="314">
        <v>-0.26361531045992481</v>
      </c>
      <c r="P68" s="312">
        <v>-17741.689999999999</v>
      </c>
      <c r="Q68" s="312">
        <v>49559.75</v>
      </c>
      <c r="R68" s="314">
        <v>1.4897445894985586E-3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10.24</v>
      </c>
      <c r="L69" s="311" t="s">
        <v>1747</v>
      </c>
      <c r="M69" s="312">
        <v>51200</v>
      </c>
      <c r="N69" s="312">
        <v>0</v>
      </c>
      <c r="O69" s="314">
        <v>-0.20936629164068538</v>
      </c>
      <c r="P69" s="312">
        <v>-13558.18</v>
      </c>
      <c r="Q69" s="312">
        <v>51200</v>
      </c>
      <c r="R69" s="314">
        <v>1.5390497930745453E-3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29.14</v>
      </c>
      <c r="L70" s="311" t="s">
        <v>1747</v>
      </c>
      <c r="M70" s="312">
        <v>43710</v>
      </c>
      <c r="N70" s="312">
        <v>0</v>
      </c>
      <c r="O70" s="314">
        <v>0.17803946849963967</v>
      </c>
      <c r="P70" s="312">
        <v>6605.98</v>
      </c>
      <c r="Q70" s="312">
        <v>43710</v>
      </c>
      <c r="R70" s="314">
        <v>1.3139036417048511E-3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61.4</v>
      </c>
      <c r="L71" s="605">
        <v>0.79600000000000004</v>
      </c>
      <c r="M71" s="312">
        <v>798200</v>
      </c>
      <c r="N71" s="312">
        <v>0</v>
      </c>
      <c r="O71" s="314">
        <v>2.8022479302297704E-2</v>
      </c>
      <c r="P71" s="312">
        <v>27335.68</v>
      </c>
      <c r="Q71" s="312">
        <v>1002826.81</v>
      </c>
      <c r="R71" s="314">
        <v>3.0144538953517704E-2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5.94</v>
      </c>
      <c r="L72" s="311" t="s">
        <v>1747</v>
      </c>
      <c r="M72" s="312">
        <v>29700</v>
      </c>
      <c r="N72" s="312">
        <v>0</v>
      </c>
      <c r="O72" s="314">
        <v>-0.39975614335440113</v>
      </c>
      <c r="P72" s="312">
        <v>-19779.89</v>
      </c>
      <c r="Q72" s="312">
        <v>29700</v>
      </c>
      <c r="R72" s="314">
        <v>8.9276911824832028E-4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TSLA (All Trades Info)</v>
      </c>
      <c r="M1" t="str">
        <f>[0]!ChaRSITicker&amp;" (Last Trades Zoom)"</f>
        <v>TSLA (Last Trades Zoom)</v>
      </c>
      <c r="R1" s="342" t="str">
        <f>IDTICKER</f>
        <v>TSLA</v>
      </c>
      <c r="S1" s="342"/>
      <c r="V1" s="442"/>
      <c r="Z1" t="str">
        <f>[0]!ChaRSITicker&amp;" (2 Week Movement RSI:Agio)"</f>
        <v>TSLA (2 Week Movement RSI:Agio)</v>
      </c>
      <c r="AG1" t="str">
        <f ca="1">A51&amp;" "&amp;TRUNC(B51,2)</f>
        <v>Effective Cost/Share 336.51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45887</v>
      </c>
      <c r="G32" s="180">
        <f>DataShift!G3</f>
        <v>45888</v>
      </c>
      <c r="H32" s="180">
        <f>DataShift!H3</f>
        <v>45889</v>
      </c>
      <c r="I32" s="180">
        <f>DataShift!I3</f>
        <v>45890</v>
      </c>
      <c r="J32" s="180">
        <f>DataShift!J3</f>
        <v>45891</v>
      </c>
      <c r="K32" s="180">
        <f>DataShift!K3</f>
        <v>45894</v>
      </c>
      <c r="L32" s="180">
        <f>DataShift!L3</f>
        <v>45895</v>
      </c>
      <c r="M32" s="180">
        <f>DataShift!M3</f>
        <v>45896</v>
      </c>
      <c r="N32" s="180">
        <f>DataShift!N3</f>
        <v>45897</v>
      </c>
      <c r="O32" s="180">
        <f>DataShift!O3</f>
        <v>45898</v>
      </c>
      <c r="P32" s="180">
        <f>DataShift!P3</f>
        <v>45901</v>
      </c>
      <c r="Q32" s="180">
        <f>DataShift!Q3</f>
        <v>45902</v>
      </c>
      <c r="R32" s="180">
        <f>DataShift!R3</f>
        <v>45903</v>
      </c>
      <c r="S32" s="180">
        <f>DataShift!S3</f>
        <v>45904</v>
      </c>
      <c r="T32" s="180">
        <f>DataShift!T3</f>
        <v>45905</v>
      </c>
      <c r="U32" s="180">
        <f>DataShift!U3</f>
        <v>45908</v>
      </c>
      <c r="V32" s="180">
        <f>DataShift!V3</f>
        <v>45909</v>
      </c>
      <c r="W32" s="180">
        <f>DataShift!W3</f>
        <v>45910</v>
      </c>
      <c r="X32" s="180">
        <f>DataShift!X3</f>
        <v>45911</v>
      </c>
      <c r="Y32" s="180">
        <f>DataShift!Y3</f>
        <v>45912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45887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45901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20</v>
      </c>
      <c r="C35" s="525">
        <f ca="1">MAX(P35:Z35)</f>
        <v>57</v>
      </c>
      <c r="D35" s="523"/>
      <c r="E35" s="523"/>
      <c r="F35" s="103">
        <f ca="1">F57</f>
        <v>43</v>
      </c>
      <c r="G35" s="103">
        <f t="shared" ref="G35:Z35" ca="1" si="0">G57</f>
        <v>33</v>
      </c>
      <c r="H35" s="103">
        <f t="shared" ca="1" si="0"/>
        <v>33</v>
      </c>
      <c r="I35" s="103">
        <f t="shared" ca="1" si="0"/>
        <v>34</v>
      </c>
      <c r="J35" s="103">
        <f t="shared" ca="1" si="0"/>
        <v>27</v>
      </c>
      <c r="K35" s="103">
        <f t="shared" ca="1" si="0"/>
        <v>26</v>
      </c>
      <c r="L35" s="103">
        <f t="shared" ca="1" si="0"/>
        <v>31</v>
      </c>
      <c r="M35" s="103">
        <f t="shared" ca="1" si="0"/>
        <v>33</v>
      </c>
      <c r="N35" s="103">
        <f t="shared" ca="1" si="0"/>
        <v>32</v>
      </c>
      <c r="O35" s="103">
        <f t="shared" ca="1" si="0"/>
        <v>40</v>
      </c>
      <c r="P35" s="103">
        <f t="shared" ca="1" si="0"/>
        <v>29</v>
      </c>
      <c r="Q35" s="103">
        <f t="shared" ca="1" si="0"/>
        <v>20</v>
      </c>
      <c r="R35" s="103">
        <f t="shared" ca="1" si="0"/>
        <v>20</v>
      </c>
      <c r="S35" s="103">
        <f t="shared" ca="1" si="0"/>
        <v>23</v>
      </c>
      <c r="T35" s="103">
        <f t="shared" ca="1" si="0"/>
        <v>35</v>
      </c>
      <c r="U35" s="103">
        <f t="shared" ca="1" si="0"/>
        <v>35</v>
      </c>
      <c r="V35" s="103">
        <f t="shared" ca="1" si="0"/>
        <v>33</v>
      </c>
      <c r="W35" s="103">
        <f t="shared" ca="1" si="0"/>
        <v>34</v>
      </c>
      <c r="X35" s="103">
        <f t="shared" ca="1" si="0"/>
        <v>46</v>
      </c>
      <c r="Y35" s="103">
        <f t="shared" ca="1" si="0"/>
        <v>57</v>
      </c>
      <c r="Z35" s="103">
        <f t="shared" ca="1" si="0"/>
        <v>57</v>
      </c>
    </row>
    <row r="36" spans="1:26" x14ac:dyDescent="0.3">
      <c r="A36" s="523" t="s">
        <v>548</v>
      </c>
      <c r="B36" s="525">
        <f ca="1">MIN(F36:Z36)</f>
        <v>4.1444529686984494E-3</v>
      </c>
      <c r="C36" s="525">
        <f ca="1">MAX(P36:Z36)</f>
        <v>2.1738133239969519</v>
      </c>
      <c r="D36" s="523"/>
      <c r="E36" s="523"/>
      <c r="F36" s="99">
        <f ca="1">F58</f>
        <v>0.49999370198102205</v>
      </c>
      <c r="G36" s="99">
        <f t="shared" ref="G36:Z36" ca="1" si="1">G58</f>
        <v>0.30147803038804016</v>
      </c>
      <c r="H36" s="99">
        <f t="shared" ca="1" si="1"/>
        <v>0.21638315919577167</v>
      </c>
      <c r="I36" s="99">
        <f t="shared" ca="1" si="1"/>
        <v>0.76111692611176185</v>
      </c>
      <c r="J36" s="99">
        <f t="shared" ca="1" si="1"/>
        <v>0.76111692611176185</v>
      </c>
      <c r="K36" s="99">
        <f t="shared" ca="1" si="1"/>
        <v>0.88403540596762187</v>
      </c>
      <c r="L36" s="99">
        <f t="shared" ca="1" si="1"/>
        <v>1.0056229380432118</v>
      </c>
      <c r="M36" s="99">
        <f t="shared" ca="1" si="1"/>
        <v>0.88053641169041941</v>
      </c>
      <c r="N36" s="99">
        <f t="shared" ca="1" si="1"/>
        <v>0.75208057444416843</v>
      </c>
      <c r="O36" s="99">
        <f t="shared" ca="1" si="1"/>
        <v>0.32547684271386296</v>
      </c>
      <c r="P36" s="99">
        <f t="shared" ca="1" si="1"/>
        <v>0.9991306160313761</v>
      </c>
      <c r="Q36" s="99">
        <f t="shared" ca="1" si="1"/>
        <v>0.36897335033493123</v>
      </c>
      <c r="R36" s="99">
        <f t="shared" ca="1" si="1"/>
        <v>0.24539054309634209</v>
      </c>
      <c r="S36" s="99">
        <f t="shared" ca="1" si="1"/>
        <v>4.1444529686984494E-3</v>
      </c>
      <c r="T36" s="99">
        <f t="shared" ca="1" si="1"/>
        <v>3.9287558171379536E-2</v>
      </c>
      <c r="U36" s="99">
        <f t="shared" ca="1" si="1"/>
        <v>0.97617822324539094</v>
      </c>
      <c r="V36" s="99">
        <f t="shared" ca="1" si="1"/>
        <v>0.7031178048124791</v>
      </c>
      <c r="W36" s="99">
        <f t="shared" ca="1" si="1"/>
        <v>0.9554427290289188</v>
      </c>
      <c r="X36" s="99">
        <f t="shared" ca="1" si="1"/>
        <v>1.26028979718001</v>
      </c>
      <c r="Y36" s="99">
        <f t="shared" ca="1" si="1"/>
        <v>2.1738133239969519</v>
      </c>
      <c r="Z36" s="99">
        <f t="shared" ca="1" si="1"/>
        <v>2.1738133239969519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333.93</v>
      </c>
      <c r="P38">
        <f ca="1">MIN(P44:P45,P50:P51)</f>
        <v>333.93</v>
      </c>
      <c r="Z38">
        <f ca="1">MAX(Z44:Z45,Z50:Z51)</f>
        <v>395.94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79.8</v>
      </c>
      <c r="P40" s="103">
        <f t="shared" ref="P40:P41" ca="1" si="2">F40</f>
        <v>79.8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74.100000000000009</v>
      </c>
      <c r="P41" s="103">
        <f t="shared" ca="1" si="2"/>
        <v>74.100000000000009</v>
      </c>
      <c r="Z41" s="103">
        <f t="shared" ref="Z41:Z43" ca="1" si="4">0.9*P41</f>
        <v>66.690000000000012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68.399999999999991</v>
      </c>
      <c r="P42" s="103">
        <f t="shared" ref="P42:P43" ca="1" si="6">F42</f>
        <v>68.399999999999991</v>
      </c>
      <c r="Z42" s="103">
        <f t="shared" ca="1" si="4"/>
        <v>61.559999999999995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62.7</v>
      </c>
      <c r="P43" s="103">
        <f t="shared" ca="1" si="6"/>
        <v>62.7</v>
      </c>
      <c r="Z43" s="103">
        <f t="shared" ca="1" si="4"/>
        <v>56.430000000000007</v>
      </c>
    </row>
    <row r="44" spans="1:26" x14ac:dyDescent="0.3">
      <c r="A44" s="523" t="s">
        <v>1725</v>
      </c>
      <c r="B44" s="526">
        <f ca="1">_xlfn.XLOOKUP(_xlfn.SINGLE(ChaRSITicker),TabCalc[Ticker],TabCalc[L_Sp])</f>
        <v>333.93</v>
      </c>
      <c r="C44" s="523"/>
      <c r="D44" s="523"/>
      <c r="E44" s="523"/>
      <c r="F44" s="527">
        <f ca="1">_xlfn.XLOOKUP(_xlfn.SINGLE(ChaRSITicker),TabCalc[Ticker],TabCalc[L_Sp])</f>
        <v>333.93</v>
      </c>
      <c r="P44">
        <f ca="1">F44</f>
        <v>333.93</v>
      </c>
      <c r="Z44">
        <f ca="1">P44</f>
        <v>333.93</v>
      </c>
    </row>
    <row r="45" spans="1:26" x14ac:dyDescent="0.3">
      <c r="A45" s="523" t="s">
        <v>1726</v>
      </c>
      <c r="B45" s="526">
        <f ca="1">ABS(_xlfn.XLOOKUP(_xlfn.SINGLE(ChaRSITicker),TabCalc[Ticker],TabCalc[L_Bp]))</f>
        <v>336.51</v>
      </c>
      <c r="C45" s="523"/>
      <c r="D45" s="523"/>
      <c r="E45" s="523"/>
      <c r="F45" s="527">
        <f ca="1">ABS(_xlfn.XLOOKUP(_xlfn.SINGLE(ChaRSITicker),TabCalc[Ticker],TabCalc[L_Bp]))</f>
        <v>336.51</v>
      </c>
      <c r="P45">
        <f ca="1">F45</f>
        <v>336.51</v>
      </c>
      <c r="Z45">
        <f ca="1">P45</f>
        <v>336.51</v>
      </c>
    </row>
    <row r="46" spans="1:26" x14ac:dyDescent="0.3">
      <c r="A46" s="523" t="s">
        <v>1727</v>
      </c>
      <c r="B46" s="526">
        <f ca="1">_xlfn.XLOOKUP(_xlfn.SINGLE(ChaRSITicker),TabCalc[Ticker],TabCalc[Min_SP])</f>
        <v>176.54</v>
      </c>
      <c r="C46" s="523"/>
      <c r="D46" s="523"/>
      <c r="E46" s="523"/>
      <c r="F46" s="527">
        <f ca="1">_xlfn.XLOOKUP(_xlfn.SINGLE(ChaRSITicker),TabCalc[Ticker],TabCalc[Min_SP])</f>
        <v>176.54</v>
      </c>
      <c r="P46">
        <f t="shared" ref="P46:P49" ca="1" si="7">F46</f>
        <v>176.54</v>
      </c>
      <c r="Z46">
        <f t="shared" ref="Z46:Z49" ca="1" si="8">P46</f>
        <v>176.54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382.16199999999998</v>
      </c>
      <c r="C47" s="523"/>
      <c r="D47" s="523"/>
      <c r="E47" s="523"/>
      <c r="F47" s="527">
        <f ca="1">ABS(_xlfn.XLOOKUP(_xlfn.SINGLE(ChaRSITicker),TabCalc[Ticker],TabCalc[Min_PP]))</f>
        <v>382.16199999999998</v>
      </c>
      <c r="P47">
        <f t="shared" ca="1" si="7"/>
        <v>382.16199999999998</v>
      </c>
      <c r="Z47">
        <f t="shared" ca="1" si="8"/>
        <v>382.16199999999998</v>
      </c>
    </row>
    <row r="48" spans="1:26" x14ac:dyDescent="0.3">
      <c r="A48" s="523" t="s">
        <v>1729</v>
      </c>
      <c r="B48" s="526">
        <f ca="1">_xlfn.XLOOKUP(_xlfn.SINGLE(ChaRSITicker),TabCalc[Ticker],TabCalc[Max_SP])</f>
        <v>397.49</v>
      </c>
      <c r="C48" s="523"/>
      <c r="D48" s="523"/>
      <c r="E48" s="523"/>
      <c r="F48" s="527">
        <f ca="1">_xlfn.XLOOKUP(_xlfn.SINGLE(ChaRSITicker),TabCalc[Ticker],TabCalc[Max_SP])</f>
        <v>397.49</v>
      </c>
      <c r="P48">
        <f t="shared" ca="1" si="7"/>
        <v>397.49</v>
      </c>
      <c r="Z48">
        <f t="shared" ca="1" si="8"/>
        <v>397.49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172.548</v>
      </c>
      <c r="C49" s="523"/>
      <c r="D49" s="523"/>
      <c r="E49" s="523"/>
      <c r="F49" s="527">
        <f ca="1">ABS(_xlfn.XLOOKUP(_xlfn.SINGLE(ChaRSITicker),TabCalc[Ticker],TabCalc[Max_PP]))</f>
        <v>172.548</v>
      </c>
      <c r="P49">
        <f t="shared" ca="1" si="7"/>
        <v>172.548</v>
      </c>
      <c r="Z49">
        <f t="shared" ca="1" si="8"/>
        <v>172.548</v>
      </c>
    </row>
    <row r="50" spans="1:26" x14ac:dyDescent="0.3">
      <c r="A50" s="209" t="s">
        <v>131</v>
      </c>
      <c r="B50" s="209">
        <f ca="1">_xlfn.XLOOKUP(_xlfn.SINGLE(ChaRSITicker),TabCalc[Ticker],TabCalc[M])</f>
        <v>395.94</v>
      </c>
      <c r="C50" s="209"/>
      <c r="D50" s="209"/>
      <c r="E50" s="209"/>
      <c r="F50" s="527">
        <f ca="1">_xlfn.XLOOKUP(_xlfn.SINGLE(ChaRSITicker),TabCalc[Ticker],TabCalc[M])</f>
        <v>395.94</v>
      </c>
      <c r="P50">
        <f ca="1">F50</f>
        <v>395.94</v>
      </c>
      <c r="Z50">
        <f ca="1">P50</f>
        <v>395.94</v>
      </c>
    </row>
    <row r="51" spans="1:26" x14ac:dyDescent="0.3">
      <c r="A51" s="209" t="s">
        <v>1902</v>
      </c>
      <c r="B51" s="564">
        <f ca="1">ABS(_xlfn.XLOOKUP(ChaRSITicker,TabCalc[Ticker],TabCalc[A]))</f>
        <v>336.51</v>
      </c>
      <c r="C51" s="209"/>
      <c r="D51" s="209"/>
      <c r="E51" s="209"/>
      <c r="F51" s="527">
        <f ca="1">B51</f>
        <v>336.51</v>
      </c>
      <c r="P51" s="527">
        <f ca="1">F51</f>
        <v>336.51</v>
      </c>
      <c r="Z51" s="95">
        <f ca="1">P51</f>
        <v>336.51</v>
      </c>
    </row>
    <row r="52" spans="1:26" x14ac:dyDescent="0.3">
      <c r="A52" s="528" t="s">
        <v>1774</v>
      </c>
      <c r="B52" s="529">
        <f ca="1">MIN(B51,B44:B49,F56:Z56)</f>
        <v>172.548</v>
      </c>
      <c r="C52" s="529">
        <f ca="1">MAX(B51,B44:B49,F56:Z56)</f>
        <v>397.49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327.73320000000001</v>
      </c>
      <c r="C53" s="529">
        <f ca="1">MAX(B51,B44:B45,P56:Z56)</f>
        <v>395.94</v>
      </c>
      <c r="D53" t="s">
        <v>1778</v>
      </c>
    </row>
    <row r="54" spans="1:26" x14ac:dyDescent="0.3">
      <c r="A54" s="528" t="s">
        <v>1776</v>
      </c>
      <c r="B54" s="528">
        <f ca="1">MIN(P56:Z56)</f>
        <v>327.73320000000001</v>
      </c>
      <c r="C54" s="529">
        <f ca="1">MAX(F56:Z56)</f>
        <v>395.94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323.89999999999998</v>
      </c>
      <c r="C56" s="165">
        <f ca="1">MAX(F56:Z56)</f>
        <v>395.94</v>
      </c>
      <c r="D56" s="521">
        <f ca="1">AVERAGE(F56:Y56)</f>
        <v>342.28916999999996</v>
      </c>
      <c r="E56" s="165"/>
      <c r="F56" cm="1">
        <f t="array" aca="1" ref="F56" ca="1">_xlfn.XLOOKUP(_xlfn.SINGLE(ChaRSITicker),ListTickers,Tab1Price[Price0])</f>
        <v>331.375</v>
      </c>
      <c r="G56" cm="1">
        <f t="array" aca="1" ref="G56" ca="1">_xlfn.XLOOKUP(_xlfn.SINGLE(ChaRSITicker),ListTickers,Tab1Price[Price1])</f>
        <v>333.30500000000001</v>
      </c>
      <c r="H56" cm="1">
        <f t="array" aca="1" ref="H56" ca="1">_xlfn.XLOOKUP(_xlfn.SINGLE(ChaRSITicker),ListTickers,Tab1Price[Price2])</f>
        <v>332.74579999999997</v>
      </c>
      <c r="I56" cm="1">
        <f t="array" aca="1" ref="I56" ca="1">_xlfn.XLOOKUP(_xlfn.SINGLE(ChaRSITicker),ListTickers,Tab1Price[Price3])</f>
        <v>329.78320000000002</v>
      </c>
      <c r="J56" cm="1">
        <f t="array" aca="1" ref="J56" ca="1">_xlfn.XLOOKUP(_xlfn.SINGLE(ChaRSITicker),ListTickers,Tab1Price[Price4])</f>
        <v>329.78320000000002</v>
      </c>
      <c r="K56" cm="1">
        <f t="array" aca="1" ref="K56" ca="1">_xlfn.XLOOKUP(_xlfn.SINGLE(ChaRSITicker),ListTickers,Tab1Price[Price5])</f>
        <v>323.89999999999998</v>
      </c>
      <c r="L56" cm="1">
        <f t="array" aca="1" ref="L56" ca="1">_xlfn.XLOOKUP(_xlfn.SINGLE(ChaRSITicker),ListTickers,Tab1Price[Price6])</f>
        <v>346.6</v>
      </c>
      <c r="M56" cm="1">
        <f t="array" aca="1" ref="M56" ca="1">_xlfn.XLOOKUP(_xlfn.SINGLE(ChaRSITicker),ListTickers,Tab1Price[Price7])</f>
        <v>351.67</v>
      </c>
      <c r="N56" cm="1">
        <f t="array" aca="1" ref="N56" ca="1">_xlfn.XLOOKUP(_xlfn.SINGLE(ChaRSITicker),ListTickers,Tab1Price[Price8])</f>
        <v>349.6</v>
      </c>
      <c r="O56" cm="1">
        <f t="array" aca="1" ref="O56" ca="1">_xlfn.XLOOKUP(_xlfn.SINGLE(ChaRSITicker),ListTickers,Tab1Price[Price9])</f>
        <v>344.97800000000001</v>
      </c>
      <c r="P56" cm="1">
        <f t="array" aca="1" ref="P56" ca="1">_xlfn.XLOOKUP(_xlfn.SINGLE(ChaRSITicker),ListTickers,Tab1Price[Price10])</f>
        <v>333.87</v>
      </c>
      <c r="Q56" cm="1">
        <f t="array" aca="1" ref="Q56" ca="1">_xlfn.XLOOKUP(_xlfn.SINGLE(ChaRSITicker),ListTickers,Tab1Price[Price11])</f>
        <v>327.73320000000001</v>
      </c>
      <c r="R56" cm="1">
        <f t="array" aca="1" ref="R56" ca="1">_xlfn.XLOOKUP(_xlfn.SINGLE(ChaRSITicker),ListTickers,Tab1Price[Price12])</f>
        <v>332.31</v>
      </c>
      <c r="S56" cm="1">
        <f t="array" aca="1" ref="S56" ca="1">_xlfn.XLOOKUP(_xlfn.SINGLE(ChaRSITicker),ListTickers,Tab1Price[Price13])</f>
        <v>334.09</v>
      </c>
      <c r="T56" cm="1">
        <f t="array" aca="1" ref="T56" ca="1">_xlfn.XLOOKUP(_xlfn.SINGLE(ChaRSITicker),ListTickers,Tab1Price[Price14])</f>
        <v>338.53</v>
      </c>
      <c r="U56" cm="1">
        <f t="array" aca="1" ref="U56" ca="1">_xlfn.XLOOKUP(_xlfn.SINGLE(ChaRSITicker),ListTickers,Tab1Price[Price15])</f>
        <v>346.4</v>
      </c>
      <c r="V56" cm="1">
        <f t="array" aca="1" ref="V56" ca="1">_xlfn.XLOOKUP(_xlfn.SINGLE(ChaRSITicker),ListTickers,Tab1Price[Price16])</f>
        <v>346.97</v>
      </c>
      <c r="W56" cm="1">
        <f t="array" aca="1" ref="W56" ca="1">_xlfn.XLOOKUP(_xlfn.SINGLE(ChaRSITicker),ListTickers,Tab1Price[Price17])</f>
        <v>347.79</v>
      </c>
      <c r="X56" cm="1">
        <f t="array" aca="1" ref="X56" ca="1">_xlfn.XLOOKUP(_xlfn.SINGLE(ChaRSITicker),ListTickers,Tab1Price[Price18])</f>
        <v>368.41</v>
      </c>
      <c r="Y56" cm="1">
        <f t="array" aca="1" ref="Y56" ca="1">_xlfn.XLOOKUP(_xlfn.SINGLE(ChaRSITicker),ListTickers,Tab1Price[Price19])</f>
        <v>395.94</v>
      </c>
      <c r="Z56" cm="1">
        <f t="array" aca="1" ref="Z56" ca="1">_xlfn.XLOOKUP(_xlfn.SINGLE(ChaRSITicker),ListTickers,Tab1Price[Price20])</f>
        <v>395.94</v>
      </c>
    </row>
    <row r="57" spans="1:26" x14ac:dyDescent="0.3">
      <c r="A57" s="165" t="s">
        <v>666</v>
      </c>
      <c r="B57" s="533">
        <f t="shared" ref="B57:B58" ca="1" si="9">MIN(F57:Z57)</f>
        <v>20</v>
      </c>
      <c r="C57" s="533">
        <v>100</v>
      </c>
      <c r="D57" s="521">
        <f ca="1">IFERROR(AVERAGEIF(F57:Y57, "&gt;0"), "")</f>
        <v>33.200000000000003</v>
      </c>
      <c r="E57" s="519">
        <v>1</v>
      </c>
      <c r="F57" s="96" cm="1">
        <f t="array" aca="1" ref="F57" ca="1">_xlfn.XLOOKUP(ChaRSITicker,ListTickers,Tab2RSI[RSI0])</f>
        <v>43</v>
      </c>
      <c r="G57" s="96" cm="1">
        <f t="array" aca="1" ref="G57" ca="1">_xlfn.XLOOKUP(ChaRSITicker,ListTickers,Tab2RSI[RSI1])</f>
        <v>33</v>
      </c>
      <c r="H57" s="96" cm="1">
        <f t="array" aca="1" ref="H57" ca="1">_xlfn.XLOOKUP(ChaRSITicker,ListTickers,Tab2RSI[RSI2])</f>
        <v>33</v>
      </c>
      <c r="I57" s="96" cm="1">
        <f t="array" aca="1" ref="I57" ca="1">_xlfn.XLOOKUP(ChaRSITicker,ListTickers,Tab2RSI[RSI3])</f>
        <v>34</v>
      </c>
      <c r="J57" s="96" cm="1">
        <f t="array" aca="1" ref="J57" ca="1">_xlfn.XLOOKUP(ChaRSITicker,ListTickers,Tab2RSI[RSI4])</f>
        <v>27</v>
      </c>
      <c r="K57" s="96" cm="1">
        <f t="array" aca="1" ref="K57" ca="1">_xlfn.XLOOKUP(ChaRSITicker,ListTickers,Tab2RSI[RSI5])</f>
        <v>26</v>
      </c>
      <c r="L57" s="96" cm="1">
        <f t="array" aca="1" ref="L57" ca="1">_xlfn.XLOOKUP(ChaRSITicker,ListTickers,Tab2RSI[RSI6])</f>
        <v>31</v>
      </c>
      <c r="M57" s="96" cm="1">
        <f t="array" aca="1" ref="M57" ca="1">_xlfn.XLOOKUP(ChaRSITicker,ListTickers,Tab2RSI[RSI7])</f>
        <v>33</v>
      </c>
      <c r="N57" s="96" cm="1">
        <f t="array" aca="1" ref="N57" ca="1">_xlfn.XLOOKUP(ChaRSITicker,ListTickers,Tab2RSI[RSI8])</f>
        <v>32</v>
      </c>
      <c r="O57" s="96" cm="1">
        <f t="array" aca="1" ref="O57" ca="1">_xlfn.XLOOKUP(ChaRSITicker,ListTickers,Tab2RSI[RSI9])</f>
        <v>40</v>
      </c>
      <c r="P57" s="96" cm="1">
        <f t="array" aca="1" ref="P57" ca="1">_xlfn.XLOOKUP(ChaRSITicker,ListTickers,Tab2RSI[RSI10])</f>
        <v>29</v>
      </c>
      <c r="Q57" s="96" cm="1">
        <f t="array" aca="1" ref="Q57" ca="1">_xlfn.XLOOKUP(ChaRSITicker,ListTickers,Tab2RSI[RSI11])</f>
        <v>20</v>
      </c>
      <c r="R57" s="96" cm="1">
        <f t="array" aca="1" ref="R57" ca="1">_xlfn.XLOOKUP(ChaRSITicker,ListTickers,Tab2RSI[RSI12])</f>
        <v>20</v>
      </c>
      <c r="S57" s="96" cm="1">
        <f t="array" aca="1" ref="S57" ca="1">_xlfn.XLOOKUP(ChaRSITicker,ListTickers,Tab2RSI[RSI13])</f>
        <v>23</v>
      </c>
      <c r="T57" s="96" cm="1">
        <f t="array" aca="1" ref="T57" ca="1">_xlfn.XLOOKUP(ChaRSITicker,ListTickers,Tab2RSI[RSI14])</f>
        <v>35</v>
      </c>
      <c r="U57" s="96" cm="1">
        <f t="array" aca="1" ref="U57" ca="1">_xlfn.XLOOKUP(ChaRSITicker,ListTickers,Tab2RSI[RSI15])</f>
        <v>35</v>
      </c>
      <c r="V57" s="96" cm="1">
        <f t="array" aca="1" ref="V57" ca="1">_xlfn.XLOOKUP(ChaRSITicker,ListTickers,Tab2RSI[RSI16])</f>
        <v>33</v>
      </c>
      <c r="W57" s="96" cm="1">
        <f t="array" aca="1" ref="W57" ca="1">_xlfn.XLOOKUP(ChaRSITicker,ListTickers,Tab2RSI[RSI17])</f>
        <v>34</v>
      </c>
      <c r="X57" s="96" cm="1">
        <f t="array" aca="1" ref="X57" ca="1">_xlfn.XLOOKUP(ChaRSITicker,ListTickers,Tab2RSI[RSI18])</f>
        <v>46</v>
      </c>
      <c r="Y57" s="96" cm="1">
        <f t="array" aca="1" ref="Y57" ca="1">_xlfn.XLOOKUP(ChaRSITicker,ListTickers,Tab2RSI[RSI19])</f>
        <v>57</v>
      </c>
      <c r="Z57" s="96" cm="1">
        <f t="array" aca="1" ref="Z57" ca="1">_xlfn.XLOOKUP(ChaRSITicker,ListTickers,Tab2RSI[RSI20])</f>
        <v>57</v>
      </c>
    </row>
    <row r="58" spans="1:26" x14ac:dyDescent="0.3">
      <c r="A58" s="165" t="s">
        <v>548</v>
      </c>
      <c r="B58" s="520">
        <f t="shared" ca="1" si="9"/>
        <v>4.1444529686984494E-3</v>
      </c>
      <c r="C58" s="520">
        <f t="shared" ref="C58" ca="1" si="10">MAX(F58:Z58)</f>
        <v>2.1738133239969519</v>
      </c>
      <c r="D58" s="521">
        <f ca="1">IFERROR(AVERAGEIF(F58:Y58, "&gt;0"), "")</f>
        <v>0.70568046577570587</v>
      </c>
      <c r="E58" s="165">
        <f ca="1">INT(C57/D58)</f>
        <v>141</v>
      </c>
      <c r="F58" s="99" cm="1">
        <f t="array" aca="1" ref="F58" ca="1">_xlfn.XLOOKUP(ChaRSITicker,ListTickers,Tab2Agiotage[XAgio0])</f>
        <v>0.49999370198102205</v>
      </c>
      <c r="G58" s="99" cm="1">
        <f t="array" aca="1" ref="G58" ca="1">_xlfn.XLOOKUP(ChaRSITicker,ListTickers,Tab2Agiotage[XAgio1])</f>
        <v>0.30147803038804016</v>
      </c>
      <c r="H58" s="99" cm="1">
        <f t="array" aca="1" ref="H58" ca="1">_xlfn.XLOOKUP(ChaRSITicker,ListTickers,Tab2Agiotage[XAgio2])</f>
        <v>0.21638315919577167</v>
      </c>
      <c r="I58" s="99" cm="1">
        <f t="array" aca="1" ref="I58" ca="1">_xlfn.XLOOKUP(ChaRSITicker,ListTickers,Tab2Agiotage[XAgio3])</f>
        <v>0.76111692611176185</v>
      </c>
      <c r="J58" s="99" cm="1">
        <f t="array" aca="1" ref="J58" ca="1">_xlfn.XLOOKUP(ChaRSITicker,ListTickers,Tab2Agiotage[XAgio4])</f>
        <v>0.76111692611176185</v>
      </c>
      <c r="K58" s="99" cm="1">
        <f t="array" aca="1" ref="K58" ca="1">_xlfn.XLOOKUP(ChaRSITicker,ListTickers,Tab2Agiotage[XAgio5])</f>
        <v>0.88403540596762187</v>
      </c>
      <c r="L58" s="99" cm="1">
        <f t="array" aca="1" ref="L58" ca="1">_xlfn.XLOOKUP(ChaRSITicker,ListTickers,Tab2Agiotage[XAgio6])</f>
        <v>1.0056229380432118</v>
      </c>
      <c r="M58" s="99" cm="1">
        <f t="array" aca="1" ref="M58" ca="1">_xlfn.XLOOKUP(ChaRSITicker,ListTickers,Tab2Agiotage[XAgio7])</f>
        <v>0.88053641169041941</v>
      </c>
      <c r="N58" s="99" cm="1">
        <f t="array" aca="1" ref="N58" ca="1">_xlfn.XLOOKUP(ChaRSITicker,ListTickers,Tab2Agiotage[XAgio8])</f>
        <v>0.75208057444416843</v>
      </c>
      <c r="O58" s="99" cm="1">
        <f t="array" aca="1" ref="O58" ca="1">_xlfn.XLOOKUP(ChaRSITicker,ListTickers,Tab2Agiotage[XAgio9])</f>
        <v>0.32547684271386296</v>
      </c>
      <c r="P58" s="99" cm="1">
        <f t="array" aca="1" ref="P58" ca="1">_xlfn.XLOOKUP(ChaRSITicker,ListTickers,Tab2Agiotage[XAgio10])</f>
        <v>0.9991306160313761</v>
      </c>
      <c r="Q58" s="99" cm="1">
        <f t="array" aca="1" ref="Q58" ca="1">_xlfn.XLOOKUP(ChaRSITicker,ListTickers,Tab2Agiotage[XAgio11])</f>
        <v>0.36897335033493123</v>
      </c>
      <c r="R58" s="99" cm="1">
        <f t="array" aca="1" ref="R58" ca="1">_xlfn.XLOOKUP(ChaRSITicker,ListTickers,Tab2Agiotage[XAgio12])</f>
        <v>0.24539054309634209</v>
      </c>
      <c r="S58" s="99" cm="1">
        <f t="array" aca="1" ref="S58" ca="1">_xlfn.XLOOKUP(ChaRSITicker,ListTickers,Tab2Agiotage[XAgio13])</f>
        <v>4.1444529686984494E-3</v>
      </c>
      <c r="T58" s="99" cm="1">
        <f t="array" aca="1" ref="T58" ca="1">_xlfn.XLOOKUP(ChaRSITicker,ListTickers,Tab2Agiotage[XAgio14])</f>
        <v>3.9287558171379536E-2</v>
      </c>
      <c r="U58" s="99" cm="1">
        <f t="array" aca="1" ref="U58" ca="1">_xlfn.XLOOKUP(ChaRSITicker,ListTickers,Tab2Agiotage[XAgio15])</f>
        <v>0.97617822324539094</v>
      </c>
      <c r="V58" s="99" cm="1">
        <f t="array" aca="1" ref="V58" ca="1">_xlfn.XLOOKUP(ChaRSITicker,ListTickers,Tab2Agiotage[XAgio16])</f>
        <v>0.7031178048124791</v>
      </c>
      <c r="W58" s="99" cm="1">
        <f t="array" aca="1" ref="W58" ca="1">_xlfn.XLOOKUP(ChaRSITicker,ListTickers,Tab2Agiotage[XAgio17])</f>
        <v>0.9554427290289188</v>
      </c>
      <c r="X58" s="99" cm="1">
        <f t="array" aca="1" ref="X58" ca="1">_xlfn.XLOOKUP(ChaRSITicker,ListTickers,Tab2Agiotage[XAgio18])</f>
        <v>1.26028979718001</v>
      </c>
      <c r="Y58" s="99" cm="1">
        <f t="array" aca="1" ref="Y58" ca="1">_xlfn.XLOOKUP(ChaRSITicker,ListTickers,Tab2Agiotage[XAgio19])</f>
        <v>2.1738133239969519</v>
      </c>
      <c r="Z58" s="99" cm="1">
        <f t="array" aca="1" ref="Z58" ca="1">_xlfn.XLOOKUP(ChaRSITicker,ListTickers,Tab2Agiotage[XAgio20])</f>
        <v>2.1738133239969519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33</v>
      </c>
      <c r="G59" cm="1">
        <f t="array" aca="1" ref="G59" ca="1">_xlfn.XLOOKUP(ChaRSITicker,ListTickers,Tab2RSIConventional[RSIConv1])</f>
        <v>29</v>
      </c>
      <c r="H59" cm="1">
        <f t="array" aca="1" ref="H59" ca="1">_xlfn.XLOOKUP(ChaRSITicker,ListTickers,Tab2RSIConventional[RSIConv2])</f>
        <v>29</v>
      </c>
      <c r="I59" cm="1">
        <f t="array" aca="1" ref="I59" ca="1">_xlfn.XLOOKUP(ChaRSITicker,ListTickers,Tab2RSIConventional[RSIConv3])</f>
        <v>40</v>
      </c>
      <c r="J59" cm="1">
        <f t="array" aca="1" ref="J59" ca="1">_xlfn.XLOOKUP(ChaRSITicker,ListTickers,Tab2RSIConventional[RSIConv4])</f>
        <v>27</v>
      </c>
      <c r="K59" cm="1">
        <f t="array" aca="1" ref="K59" ca="1">_xlfn.XLOOKUP(ChaRSITicker,ListTickers,Tab2RSIConventional[RSIConv5])</f>
        <v>13</v>
      </c>
      <c r="L59" cm="1">
        <f t="array" aca="1" ref="L59" ca="1">_xlfn.XLOOKUP(ChaRSITicker,ListTickers,Tab2RSIConventional[RSIConv6])</f>
        <v>23</v>
      </c>
      <c r="M59" cm="1">
        <f t="array" aca="1" ref="M59" ca="1">_xlfn.XLOOKUP(ChaRSITicker,ListTickers,Tab2RSIConventional[RSIConv7])</f>
        <v>33</v>
      </c>
      <c r="N59" cm="1">
        <f t="array" aca="1" ref="N59" ca="1">_xlfn.XLOOKUP(ChaRSITicker,ListTickers,Tab2RSIConventional[RSIConv8])</f>
        <v>35</v>
      </c>
      <c r="O59" cm="1">
        <f t="array" aca="1" ref="O59" ca="1">_xlfn.XLOOKUP(ChaRSITicker,ListTickers,Tab2RSIConventional[RSIConv9])</f>
        <v>36</v>
      </c>
      <c r="P59" cm="1">
        <f t="array" aca="1" ref="P59" ca="1">_xlfn.XLOOKUP(ChaRSITicker,ListTickers,Tab2RSIConventional[RSIConv10])</f>
        <v>25</v>
      </c>
      <c r="Q59" cm="1">
        <f t="array" aca="1" ref="Q59" ca="1">_xlfn.XLOOKUP(ChaRSITicker,ListTickers,Tab2RSIConventional[RSIConv11])</f>
        <v>23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37</v>
      </c>
      <c r="U59" cm="1">
        <f t="array" aca="1" ref="U59" ca="1">_xlfn.XLOOKUP(ChaRSITicker,ListTickers,Tab2RSIConventional[RSIConv15])</f>
        <v>36</v>
      </c>
      <c r="V59" cm="1">
        <f t="array" aca="1" ref="V59" ca="1">_xlfn.XLOOKUP(ChaRSITicker,ListTickers,Tab2RSIConventional[RSIConv16])</f>
        <v>34</v>
      </c>
      <c r="W59" cm="1">
        <f t="array" aca="1" ref="W59" ca="1">_xlfn.XLOOKUP(ChaRSITicker,ListTickers,Tab2RSIConventional[RSIConv17])</f>
        <v>38</v>
      </c>
      <c r="X59" cm="1">
        <f t="array" aca="1" ref="X59" ca="1">_xlfn.XLOOKUP(ChaRSITicker,ListTickers,Tab2RSIConventional[RSIConv18])</f>
        <v>57</v>
      </c>
      <c r="Y59" cm="1">
        <f t="array" aca="1" ref="Y59" ca="1">_xlfn.XLOOKUP(ChaRSITicker,ListTickers,Tab2RSIConventional[RSIConv19])</f>
        <v>71</v>
      </c>
      <c r="Z59" cm="1">
        <f t="array" aca="1" ref="Z59" ca="1">_xlfn.XLOOKUP(ChaRSITicker,ListTickers,Tab2RSIConventional[RSIConv20])</f>
        <v>71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TSLA History</v>
      </c>
      <c r="M1" t="str">
        <f>[0]!ChaRSITicker&amp;" (Last Trades Zoom)"</f>
        <v>TSLA (Last Trades Zoom)</v>
      </c>
      <c r="O1" s="1" t="str">
        <f ca="1">_xlfn.XLOOKUP(ChaChaTicker,TabCalc[Ticker],TabCalc[NAfter])&amp;" x "&amp;"A="&amp;TRUNC(B51,2)</f>
        <v>10 x A=336.51</v>
      </c>
      <c r="R1" s="588" t="str">
        <f>IDTICKER</f>
        <v>TSLA</v>
      </c>
      <c r="S1" s="588"/>
      <c r="T1" s="589" t="s">
        <v>1831</v>
      </c>
      <c r="U1" s="590" t="s">
        <v>1832</v>
      </c>
      <c r="W1">
        <f ca="1">_xlfn.XLOOKUP(ChaChaTicker,TabCalc[Ticker],TabCalc[NAfter])</f>
        <v>10</v>
      </c>
    </row>
    <row r="2" spans="5:23" ht="24" thickTop="1" thickBot="1" x14ac:dyDescent="0.35">
      <c r="R2" s="584">
        <f ca="1">TODAY()</f>
        <v>45912</v>
      </c>
      <c r="S2" s="585">
        <f ca="1">_xlfn.XLOOKUP(ChaChaTicker,TabCalc[Ticker],TabCalc[NAfter])</f>
        <v>10</v>
      </c>
      <c r="T2" s="586">
        <f ca="1">_xlfn.XLOOKUP(ChaChaTicker,TabCalc[Ticker],TabCalc[L_Sn])</f>
        <v>390</v>
      </c>
      <c r="U2" s="587">
        <f ca="1">_xlfn.XLOOKUP(ChaChaTicker,TabCalc[Ticker],TabCalc[L_Bn])</f>
        <v>400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45887</v>
      </c>
      <c r="G32" s="180">
        <f>DataShift!G3</f>
        <v>45888</v>
      </c>
      <c r="H32" s="180">
        <f>DataShift!H3</f>
        <v>45889</v>
      </c>
      <c r="I32" s="180">
        <f>DataShift!I3</f>
        <v>45890</v>
      </c>
      <c r="J32" s="180">
        <f>DataShift!J3</f>
        <v>45891</v>
      </c>
      <c r="K32" s="180">
        <f>DataShift!K3</f>
        <v>45894</v>
      </c>
      <c r="L32" s="180">
        <f>DataShift!L3</f>
        <v>45895</v>
      </c>
      <c r="M32" s="180">
        <f>DataShift!M3</f>
        <v>45896</v>
      </c>
      <c r="N32" s="180">
        <f>DataShift!N3</f>
        <v>45897</v>
      </c>
      <c r="O32" s="180">
        <f>DataShift!O3</f>
        <v>45898</v>
      </c>
      <c r="P32" s="180">
        <f>DataShift!P3</f>
        <v>45901</v>
      </c>
      <c r="Q32" s="180">
        <f>DataShift!Q3</f>
        <v>45902</v>
      </c>
      <c r="R32" s="180">
        <f>DataShift!R3</f>
        <v>45903</v>
      </c>
      <c r="S32" s="180">
        <f>DataShift!S3</f>
        <v>45904</v>
      </c>
      <c r="T32" s="180">
        <f>DataShift!T3</f>
        <v>45905</v>
      </c>
      <c r="U32" s="180">
        <f>DataShift!U3</f>
        <v>45908</v>
      </c>
      <c r="V32" s="180">
        <f>DataShift!V3</f>
        <v>45909</v>
      </c>
      <c r="W32" s="180">
        <f>DataShift!W3</f>
        <v>45910</v>
      </c>
      <c r="X32" s="180">
        <f>DataShift!X3</f>
        <v>45911</v>
      </c>
      <c r="Y32" s="180">
        <f>DataShift!Y3</f>
        <v>45912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45887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45901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-142.74683595927189</v>
      </c>
      <c r="C35" s="525">
        <f ca="1">MAX(F35:Z35)</f>
        <v>300.00000000000006</v>
      </c>
      <c r="D35" s="523"/>
      <c r="E35" s="523"/>
      <c r="F35" s="103">
        <f ca="1">100*F57*$E57</f>
        <v>-96.193635214311925</v>
      </c>
      <c r="G35" s="103">
        <f t="shared" ref="G35:Z35" ca="1" si="0">100*G57*$E57</f>
        <v>-27.646443088049374</v>
      </c>
      <c r="H35" s="103">
        <f t="shared" ca="1" si="0"/>
        <v>26.96537567461019</v>
      </c>
      <c r="I35" s="103">
        <f t="shared" ca="1" si="0"/>
        <v>-65.423254170008576</v>
      </c>
      <c r="J35" s="103">
        <f t="shared" ca="1" si="0"/>
        <v>-65.423254170008576</v>
      </c>
      <c r="K35" s="103">
        <f t="shared" ca="1" si="0"/>
        <v>-66.997457892089571</v>
      </c>
      <c r="L35" s="103">
        <f t="shared" ca="1" si="0"/>
        <v>79.044602438792296</v>
      </c>
      <c r="M35" s="103">
        <f t="shared" ca="1" si="0"/>
        <v>59.656611519691147</v>
      </c>
      <c r="N35" s="103">
        <f t="shared" ca="1" si="0"/>
        <v>-24.004567637742827</v>
      </c>
      <c r="O35" s="103">
        <f t="shared" ca="1" si="0"/>
        <v>-53.918516605266383</v>
      </c>
      <c r="P35" s="103">
        <f t="shared" ca="1" si="0"/>
        <v>-142.74683595927189</v>
      </c>
      <c r="Q35" s="103">
        <f t="shared" ca="1" si="0"/>
        <v>-74.962276206141851</v>
      </c>
      <c r="R35" s="103">
        <f t="shared" ca="1" si="0"/>
        <v>36.528867198651461</v>
      </c>
      <c r="S35" s="103">
        <f t="shared" ca="1" si="0"/>
        <v>58.567719307785374</v>
      </c>
      <c r="T35" s="103">
        <f t="shared" ca="1" si="0"/>
        <v>54.199915716208316</v>
      </c>
      <c r="U35" s="103">
        <f t="shared" ca="1" si="0"/>
        <v>-51.610228245945549</v>
      </c>
      <c r="V35" s="103">
        <f t="shared" ca="1" si="0"/>
        <v>6.7087179347752217</v>
      </c>
      <c r="W35" s="103">
        <f t="shared" ca="1" si="0"/>
        <v>9.6368999877652577</v>
      </c>
      <c r="X35" s="103">
        <f t="shared" ca="1" si="0"/>
        <v>241.79524476284988</v>
      </c>
      <c r="Y35" s="103">
        <f t="shared" ca="1" si="0"/>
        <v>300.00000000000006</v>
      </c>
      <c r="Z35" s="103">
        <f t="shared" ca="1" si="0"/>
        <v>300.00000000000006</v>
      </c>
    </row>
    <row r="36" spans="1:26" x14ac:dyDescent="0.3">
      <c r="A36" s="523" t="s">
        <v>1718</v>
      </c>
      <c r="B36" s="525">
        <f ca="1">MIN(F36:Z36)</f>
        <v>0.16902106967136593</v>
      </c>
      <c r="C36" s="525">
        <f ca="1">MAX(F36:Z36)</f>
        <v>122.34743953997364</v>
      </c>
      <c r="D36" s="523"/>
      <c r="E36" s="523"/>
      <c r="F36" s="103">
        <f ca="1">F58*$E58</f>
        <v>20.390983074496898</v>
      </c>
      <c r="G36" s="103">
        <f t="shared" ref="G36:Z36" ca="1" si="1">G58*$E58</f>
        <v>122.34743953997364</v>
      </c>
      <c r="H36" s="103">
        <f t="shared" ca="1" si="1"/>
        <v>8.8246418290577218</v>
      </c>
      <c r="I36" s="103">
        <f t="shared" ca="1" si="1"/>
        <v>31.040235700103121</v>
      </c>
      <c r="J36" s="103">
        <f t="shared" ca="1" si="1"/>
        <v>31.040235700103121</v>
      </c>
      <c r="K36" s="103">
        <f t="shared" ca="1" si="1"/>
        <v>36.053156127606556</v>
      </c>
      <c r="L36" s="103">
        <f t="shared" ca="1" si="1"/>
        <v>41.011797204084168</v>
      </c>
      <c r="M36" s="103">
        <f t="shared" ca="1" si="1"/>
        <v>35.910458464012976</v>
      </c>
      <c r="N36" s="103">
        <f t="shared" ca="1" si="1"/>
        <v>30.671710870332181</v>
      </c>
      <c r="O36" s="103">
        <f t="shared" ca="1" si="1"/>
        <v>13.273752778531952</v>
      </c>
      <c r="P36" s="103">
        <f t="shared" ca="1" si="1"/>
        <v>40.747024212478465</v>
      </c>
      <c r="Q36" s="103">
        <f t="shared" ca="1" si="1"/>
        <v>15.047648223988169</v>
      </c>
      <c r="R36" s="103">
        <f t="shared" ca="1" si="1"/>
        <v>10.007634878387003</v>
      </c>
      <c r="S36" s="103">
        <f t="shared" ca="1" si="1"/>
        <v>0.16902106967136593</v>
      </c>
      <c r="T36" s="103">
        <f t="shared" ca="1" si="1"/>
        <v>1.6022440493486849</v>
      </c>
      <c r="U36" s="103">
        <f t="shared" ca="1" si="1"/>
        <v>39.810968716251452</v>
      </c>
      <c r="V36" s="103">
        <f t="shared" ca="1" si="1"/>
        <v>28.674887704591256</v>
      </c>
      <c r="W36" s="103">
        <f t="shared" ca="1" si="1"/>
        <v>38.965323841257685</v>
      </c>
      <c r="X36" s="103">
        <f t="shared" ca="1" si="1"/>
        <v>51.397743254442304</v>
      </c>
      <c r="Y36" s="103">
        <f t="shared" ca="1" si="1"/>
        <v>88.653498076302071</v>
      </c>
      <c r="Z36" s="103">
        <f t="shared" ca="1" si="1"/>
        <v>88.653498076302071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323.89999999999998</v>
      </c>
      <c r="P38">
        <f ca="1">F38</f>
        <v>323.89999999999998</v>
      </c>
      <c r="Z38">
        <f ca="1">MAX(P56:Z56)</f>
        <v>395.94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420.00000000000006</v>
      </c>
      <c r="P40" s="527">
        <f ca="1">F40</f>
        <v>420.00000000000006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390.00000000000011</v>
      </c>
      <c r="P41" s="103">
        <f ca="1">F41</f>
        <v>390.00000000000011</v>
      </c>
      <c r="Z41" s="103">
        <f ca="1">B41*MIN(B$35:B$36)</f>
        <v>-185.57088674705346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360.00000000000006</v>
      </c>
      <c r="P42" s="103">
        <f t="shared" ref="P42:P43" ca="1" si="3">F42</f>
        <v>360.00000000000006</v>
      </c>
      <c r="Z42" s="103">
        <f t="shared" ref="Z42:Z43" ca="1" si="4">B42*MIN(B$35:B$36)</f>
        <v>-171.29620315112626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330.00000000000011</v>
      </c>
      <c r="P43" s="103">
        <f t="shared" ca="1" si="3"/>
        <v>330.00000000000011</v>
      </c>
      <c r="Z43" s="103">
        <f t="shared" ca="1" si="4"/>
        <v>-157.02151955519909</v>
      </c>
    </row>
    <row r="44" spans="1:26" x14ac:dyDescent="0.3">
      <c r="A44" s="523" t="s">
        <v>1725</v>
      </c>
      <c r="B44" s="526">
        <f ca="1">_xlfn.XLOOKUP(ChaChaTicker,TabCalc[Ticker],TabCalc[L_Sp])</f>
        <v>333.93</v>
      </c>
      <c r="C44" s="523"/>
      <c r="D44" s="523"/>
      <c r="E44" s="523"/>
      <c r="F44" s="527">
        <f ca="1">_xlfn.XLOOKUP(ChaChaTicker,TabCalc[Ticker],TabCalc[L_Sp])</f>
        <v>333.93</v>
      </c>
      <c r="P44">
        <f ca="1">F44</f>
        <v>333.93</v>
      </c>
      <c r="Z44">
        <f ca="1">P44</f>
        <v>333.93</v>
      </c>
    </row>
    <row r="45" spans="1:26" x14ac:dyDescent="0.3">
      <c r="A45" s="523" t="s">
        <v>1726</v>
      </c>
      <c r="B45" s="526">
        <f ca="1">ABS(_xlfn.XLOOKUP(ChaChaTicker,TabCalc[Ticker],TabCalc[L_Bp]))</f>
        <v>336.51</v>
      </c>
      <c r="C45" s="523"/>
      <c r="D45" s="523"/>
      <c r="E45" s="523"/>
      <c r="F45" s="527">
        <f ca="1">ABS(_xlfn.XLOOKUP(ChaChaTicker,TabCalc[Ticker],TabCalc[L_Bp]))</f>
        <v>336.51</v>
      </c>
      <c r="P45">
        <f ca="1">F45</f>
        <v>336.51</v>
      </c>
      <c r="Z45">
        <f ca="1">P45</f>
        <v>336.51</v>
      </c>
    </row>
    <row r="46" spans="1:26" x14ac:dyDescent="0.3">
      <c r="A46" s="523" t="s">
        <v>1727</v>
      </c>
      <c r="B46" s="526">
        <f ca="1">_xlfn.XLOOKUP(ChaChaTicker,TabCalc[Ticker],TabCalc[Min_SP])</f>
        <v>176.54</v>
      </c>
      <c r="C46" s="523"/>
      <c r="D46" s="523"/>
      <c r="E46" s="523"/>
      <c r="F46" s="527">
        <f ca="1">_xlfn.XLOOKUP(ChaChaTicker,TabCalc[Ticker],TabCalc[Min_SP])</f>
        <v>176.54</v>
      </c>
      <c r="P46">
        <f t="shared" ref="P46:P49" ca="1" si="5">F46</f>
        <v>176.54</v>
      </c>
      <c r="Z46">
        <f t="shared" ref="Z46:Z49" ca="1" si="6">P46</f>
        <v>176.54</v>
      </c>
    </row>
    <row r="47" spans="1:26" x14ac:dyDescent="0.3">
      <c r="A47" s="523" t="s">
        <v>1728</v>
      </c>
      <c r="B47" s="526">
        <f ca="1">ABS(_xlfn.XLOOKUP(ChaChaTicker,TabCalc[Ticker],TabCalc[Min_PP]))</f>
        <v>382.16199999999998</v>
      </c>
      <c r="C47" s="523"/>
      <c r="D47" s="523"/>
      <c r="E47" s="523"/>
      <c r="F47" s="527">
        <f ca="1">ABS(_xlfn.XLOOKUP(ChaChaTicker,TabCalc[Ticker],TabCalc[Min_PP]))</f>
        <v>382.16199999999998</v>
      </c>
      <c r="P47">
        <f t="shared" ca="1" si="5"/>
        <v>382.16199999999998</v>
      </c>
      <c r="Z47">
        <f t="shared" ca="1" si="6"/>
        <v>382.16199999999998</v>
      </c>
    </row>
    <row r="48" spans="1:26" x14ac:dyDescent="0.3">
      <c r="A48" s="523" t="s">
        <v>1729</v>
      </c>
      <c r="B48" s="526">
        <f ca="1">_xlfn.XLOOKUP(ChaChaTicker,TabCalc[Ticker],TabCalc[Max_SP])</f>
        <v>397.49</v>
      </c>
      <c r="C48" s="523"/>
      <c r="D48" s="523"/>
      <c r="E48" s="523"/>
      <c r="F48" s="527">
        <f ca="1">_xlfn.XLOOKUP(ChaChaTicker,TabCalc[Ticker],TabCalc[Max_SP])</f>
        <v>397.49</v>
      </c>
      <c r="P48">
        <f t="shared" ca="1" si="5"/>
        <v>397.49</v>
      </c>
      <c r="Z48">
        <f t="shared" ca="1" si="6"/>
        <v>397.49</v>
      </c>
    </row>
    <row r="49" spans="1:26" x14ac:dyDescent="0.3">
      <c r="A49" s="523" t="s">
        <v>1730</v>
      </c>
      <c r="B49" s="526">
        <f ca="1">ABS(_xlfn.XLOOKUP(ChaChaTicker,TabCalc[Ticker],TabCalc[Max_PP]))</f>
        <v>172.548</v>
      </c>
      <c r="C49" s="523"/>
      <c r="D49" s="523"/>
      <c r="E49" s="523"/>
      <c r="F49" s="527">
        <f ca="1">ABS(_xlfn.XLOOKUP(ChaChaTicker,TabCalc[Ticker],TabCalc[Max_PP]))</f>
        <v>172.548</v>
      </c>
      <c r="P49">
        <f t="shared" ca="1" si="5"/>
        <v>172.548</v>
      </c>
      <c r="Z49">
        <f t="shared" ca="1" si="6"/>
        <v>172.548</v>
      </c>
    </row>
    <row r="50" spans="1:26" x14ac:dyDescent="0.3">
      <c r="A50" s="209" t="s">
        <v>131</v>
      </c>
      <c r="B50" s="209">
        <f ca="1">_xlfn.XLOOKUP(ChaChaTicker,TabCalc[Ticker],TabCalc[M])</f>
        <v>395.94</v>
      </c>
      <c r="C50" s="209"/>
      <c r="D50" s="209"/>
      <c r="E50" s="209"/>
      <c r="F50" s="527">
        <f ca="1">_xlfn.XLOOKUP(ChaChaTicker,TabCalc[Ticker],TabCalc[M])</f>
        <v>395.94</v>
      </c>
      <c r="P50">
        <f ca="1">F50</f>
        <v>395.94</v>
      </c>
      <c r="Z50">
        <f ca="1">P50</f>
        <v>395.94</v>
      </c>
    </row>
    <row r="51" spans="1:26" x14ac:dyDescent="0.3">
      <c r="A51" s="209" t="s">
        <v>1902</v>
      </c>
      <c r="B51" s="564">
        <f ca="1">ChaRSI!B51</f>
        <v>336.51</v>
      </c>
      <c r="C51" s="209"/>
      <c r="D51" s="209"/>
      <c r="E51" s="209"/>
      <c r="F51" s="564">
        <f ca="1">ChaRSI!F51</f>
        <v>336.51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336.51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336.51</v>
      </c>
    </row>
    <row r="52" spans="1:26" x14ac:dyDescent="0.3">
      <c r="A52" s="528" t="s">
        <v>1732</v>
      </c>
      <c r="B52" s="529">
        <f ca="1">MIN(B44:B45,P56:Z56)</f>
        <v>327.73320000000001</v>
      </c>
      <c r="C52" s="529">
        <f ca="1">MAX(B44:B45,P56:Z56)</f>
        <v>395.94</v>
      </c>
    </row>
    <row r="53" spans="1:26" x14ac:dyDescent="0.3">
      <c r="A53" s="528" t="s">
        <v>1733</v>
      </c>
      <c r="B53" s="529">
        <f ca="1">MIN(B44:B49,F56:Z56)</f>
        <v>172.548</v>
      </c>
      <c r="C53" s="529">
        <f ca="1">MAX(B44:B49,F56:Z56)</f>
        <v>397.49</v>
      </c>
    </row>
    <row r="54" spans="1:26" x14ac:dyDescent="0.3">
      <c r="A54" s="528" t="s">
        <v>1731</v>
      </c>
      <c r="B54" s="528">
        <f ca="1">MIN(B44:B48,F56:Z56)</f>
        <v>176.54</v>
      </c>
      <c r="C54" s="529">
        <f ca="1">MAX(B44:B48,F56:Z56)</f>
        <v>397.49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45887</v>
      </c>
      <c r="G55" s="522">
        <f>DataShift!G201</f>
        <v>45888</v>
      </c>
      <c r="H55" s="522">
        <f>DataShift!H201</f>
        <v>45889</v>
      </c>
      <c r="I55" s="522">
        <f>DataShift!I201</f>
        <v>45890</v>
      </c>
      <c r="J55" s="522">
        <f>DataShift!J201</f>
        <v>45891</v>
      </c>
      <c r="K55" s="522">
        <f>DataShift!K201</f>
        <v>45894</v>
      </c>
      <c r="L55" s="522">
        <f>DataShift!L201</f>
        <v>45895</v>
      </c>
      <c r="M55" s="522">
        <f>DataShift!M201</f>
        <v>45896</v>
      </c>
      <c r="N55" s="522">
        <f>DataShift!N201</f>
        <v>45897</v>
      </c>
      <c r="O55" s="522">
        <f>DataShift!O201</f>
        <v>45898</v>
      </c>
      <c r="P55" s="522">
        <f>DataShift!P201</f>
        <v>45901</v>
      </c>
      <c r="Q55" s="522">
        <f>DataShift!Q201</f>
        <v>45902</v>
      </c>
      <c r="R55" s="522">
        <f>DataShift!R201</f>
        <v>45903</v>
      </c>
      <c r="S55" s="522">
        <f>DataShift!S201</f>
        <v>45904</v>
      </c>
      <c r="T55" s="522">
        <f>DataShift!T201</f>
        <v>45905</v>
      </c>
      <c r="U55" s="522">
        <f>DataShift!U201</f>
        <v>45908</v>
      </c>
      <c r="V55" s="522">
        <f>DataShift!V201</f>
        <v>45909</v>
      </c>
      <c r="W55" s="522">
        <f>DataShift!W201</f>
        <v>45910</v>
      </c>
      <c r="X55" s="522">
        <f>DataShift!X201</f>
        <v>45911</v>
      </c>
      <c r="Y55" s="522">
        <f>DataShift!Y201</f>
        <v>45912</v>
      </c>
      <c r="Z55" s="522">
        <f ca="1">DataShift!Z201</f>
        <v>45912</v>
      </c>
    </row>
    <row r="56" spans="1:26" x14ac:dyDescent="0.3">
      <c r="A56" s="165" t="s">
        <v>139</v>
      </c>
      <c r="B56" s="165">
        <f ca="1">MIN(F56:Z56)</f>
        <v>323.89999999999998</v>
      </c>
      <c r="C56" s="165">
        <f ca="1">MAX(F56:Z56)</f>
        <v>395.94</v>
      </c>
      <c r="D56" s="521">
        <f ca="1">AVERAGE(F56:Y56)</f>
        <v>342.28916999999996</v>
      </c>
      <c r="E56" s="165"/>
      <c r="F56" cm="1">
        <f t="array" aca="1" ref="F56" ca="1">_xlfn.XLOOKUP(ChaChaTicker,ListTickers,Tab1Price[Price0])</f>
        <v>331.375</v>
      </c>
      <c r="G56" cm="1">
        <f t="array" aca="1" ref="G56" ca="1">_xlfn.XLOOKUP(ChaRSITicker,ListTickers,Tab1Price[Price1])</f>
        <v>333.30500000000001</v>
      </c>
      <c r="H56" cm="1">
        <f t="array" aca="1" ref="H56" ca="1">_xlfn.XLOOKUP(ChaRSITicker,ListTickers,Tab1Price[Price2])</f>
        <v>332.74579999999997</v>
      </c>
      <c r="I56" cm="1">
        <f t="array" aca="1" ref="I56" ca="1">_xlfn.XLOOKUP(ChaRSITicker,ListTickers,Tab1Price[Price3])</f>
        <v>329.78320000000002</v>
      </c>
      <c r="J56" cm="1">
        <f t="array" aca="1" ref="J56" ca="1">_xlfn.XLOOKUP(ChaRSITicker,ListTickers,Tab1Price[Price4])</f>
        <v>329.78320000000002</v>
      </c>
      <c r="K56" cm="1">
        <f t="array" aca="1" ref="K56" ca="1">_xlfn.XLOOKUP(ChaRSITicker,ListTickers,Tab1Price[Price5])</f>
        <v>323.89999999999998</v>
      </c>
      <c r="L56" cm="1">
        <f t="array" aca="1" ref="L56" ca="1">_xlfn.XLOOKUP(ChaRSITicker,ListTickers,Tab1Price[Price6])</f>
        <v>346.6</v>
      </c>
      <c r="M56" cm="1">
        <f t="array" aca="1" ref="M56" ca="1">_xlfn.XLOOKUP(ChaRSITicker,ListTickers,Tab1Price[Price7])</f>
        <v>351.67</v>
      </c>
      <c r="N56" cm="1">
        <f t="array" aca="1" ref="N56" ca="1">_xlfn.XLOOKUP(ChaRSITicker,ListTickers,Tab1Price[Price8])</f>
        <v>349.6</v>
      </c>
      <c r="O56" cm="1">
        <f t="array" aca="1" ref="O56" ca="1">_xlfn.XLOOKUP(ChaRSITicker,ListTickers,Tab1Price[Price9])</f>
        <v>344.97800000000001</v>
      </c>
      <c r="P56" cm="1">
        <f t="array" aca="1" ref="P56" ca="1">_xlfn.XLOOKUP(ChaRSITicker,ListTickers,Tab1Price[Price10])</f>
        <v>333.87</v>
      </c>
      <c r="Q56" cm="1">
        <f t="array" aca="1" ref="Q56" ca="1">_xlfn.XLOOKUP(ChaRSITicker,ListTickers,Tab1Price[Price11])</f>
        <v>327.73320000000001</v>
      </c>
      <c r="R56" cm="1">
        <f t="array" aca="1" ref="R56" ca="1">_xlfn.XLOOKUP(ChaRSITicker,ListTickers,Tab1Price[Price12])</f>
        <v>332.31</v>
      </c>
      <c r="S56" cm="1">
        <f t="array" aca="1" ref="S56" ca="1">_xlfn.XLOOKUP(ChaRSITicker,ListTickers,Tab1Price[Price13])</f>
        <v>334.09</v>
      </c>
      <c r="T56" cm="1">
        <f t="array" aca="1" ref="T56" ca="1">_xlfn.XLOOKUP(ChaRSITicker,ListTickers,Tab1Price[Price14])</f>
        <v>338.53</v>
      </c>
      <c r="U56" cm="1">
        <f t="array" aca="1" ref="U56" ca="1">_xlfn.XLOOKUP(ChaRSITicker,ListTickers,Tab1Price[Price15])</f>
        <v>346.4</v>
      </c>
      <c r="V56" cm="1">
        <f t="array" aca="1" ref="V56" ca="1">_xlfn.XLOOKUP(ChaRSITicker,ListTickers,Tab1Price[Price16])</f>
        <v>346.97</v>
      </c>
      <c r="W56" cm="1">
        <f t="array" aca="1" ref="W56" ca="1">_xlfn.XLOOKUP(ChaRSITicker,ListTickers,Tab1Price[Price17])</f>
        <v>347.79</v>
      </c>
      <c r="X56" cm="1">
        <f t="array" aca="1" ref="X56" ca="1">_xlfn.XLOOKUP(ChaRSITicker,ListTickers,Tab1Price[Price18])</f>
        <v>368.41</v>
      </c>
      <c r="Y56" cm="1">
        <f t="array" aca="1" ref="Y56" ca="1">_xlfn.XLOOKUP(ChaRSITicker,ListTickers,Tab1Price[Price19])</f>
        <v>395.94</v>
      </c>
      <c r="Z56" cm="1">
        <f t="array" aca="1" ref="Z56" ca="1">_xlfn.XLOOKUP(ChaRSITicker,ListTickers,Tab1Price[Price20])</f>
        <v>395.94</v>
      </c>
    </row>
    <row r="57" spans="1:26" x14ac:dyDescent="0.3">
      <c r="A57" s="165" t="s">
        <v>199</v>
      </c>
      <c r="B57" s="520">
        <f t="shared" ref="B57" ca="1" si="7">MIN(F57:Z57)</f>
        <v>-3.5001999999999998E-2</v>
      </c>
      <c r="C57" s="520">
        <f t="shared" ref="C57" ca="1" si="8">MAX(F57:Z57)</f>
        <v>7.3561000000000001E-2</v>
      </c>
      <c r="D57" s="521">
        <f ca="1">IFERROR(AVERAGEIF(F57:Y57, "&gt;0"), "")</f>
        <v>2.1408799999999999E-2</v>
      </c>
      <c r="E57" s="165">
        <f ca="1">E58</f>
        <v>40.782479846657878</v>
      </c>
      <c r="F57" s="333" cm="1">
        <f t="array" aca="1" ref="F57" ca="1">_xlfn.XLOOKUP(ChaChaTicker,ListTickers,Tab1ChangePercent[Change%0])</f>
        <v>-2.3586999999999997E-2</v>
      </c>
      <c r="G57" s="333" cm="1">
        <f t="array" aca="1" ref="G57" ca="1">_xlfn.XLOOKUP(ChaChaTicker,ListTickers,Tab1ChangePercent[Change%1])</f>
        <v>-6.7789999999999994E-3</v>
      </c>
      <c r="H57" s="333" cm="1">
        <f t="array" aca="1" ref="H57" ca="1">_xlfn.XLOOKUP(ChaChaTicker,ListTickers,Tab1ChangePercent[Change%2])</f>
        <v>6.6119999999999998E-3</v>
      </c>
      <c r="I57" s="333" cm="1">
        <f t="array" aca="1" ref="I57" ca="1">_xlfn.XLOOKUP(ChaChaTicker,ListTickers,Tab1ChangePercent[Change%3])</f>
        <v>-1.6042000000000001E-2</v>
      </c>
      <c r="J57" s="333" cm="1">
        <f t="array" aca="1" ref="J57" ca="1">_xlfn.XLOOKUP(ChaChaTicker,ListTickers,Tab1ChangePercent[Change%4])</f>
        <v>-1.6042000000000001E-2</v>
      </c>
      <c r="K57" s="333" cm="1">
        <f t="array" aca="1" ref="K57" ca="1">_xlfn.XLOOKUP(ChaChaTicker,ListTickers,Tab1ChangePercent[Change%5])</f>
        <v>-1.6428000000000002E-2</v>
      </c>
      <c r="L57" s="333" cm="1">
        <f t="array" aca="1" ref="L57" ca="1">_xlfn.XLOOKUP(ChaChaTicker,ListTickers,Tab1ChangePercent[Change%6])</f>
        <v>1.9382E-2</v>
      </c>
      <c r="M57" s="333" cm="1">
        <f t="array" aca="1" ref="M57" ca="1">_xlfn.XLOOKUP(ChaChaTicker,ListTickers,Tab1ChangePercent[Change%7])</f>
        <v>1.4628E-2</v>
      </c>
      <c r="N57" s="333" cm="1">
        <f t="array" aca="1" ref="N57" ca="1">_xlfn.XLOOKUP(ChaChaTicker,ListTickers,Tab1ChangePercent[Change%8])</f>
        <v>-5.8859999999999997E-3</v>
      </c>
      <c r="O57" s="333" cm="1">
        <f t="array" aca="1" ref="O57" ca="1">_xlfn.XLOOKUP(ChaChaTicker,ListTickers,Tab1ChangePercent[Change%9])</f>
        <v>-1.3221E-2</v>
      </c>
      <c r="P57" s="333" cm="1">
        <f t="array" aca="1" ref="P57" ca="1">_xlfn.XLOOKUP(ChaChaTicker,ListTickers,Tab1ChangePercent[Change%10])</f>
        <v>-3.5001999999999998E-2</v>
      </c>
      <c r="Q57" s="333" cm="1">
        <f t="array" aca="1" ref="Q57" ca="1">_xlfn.XLOOKUP(ChaChaTicker,ListTickers,Tab1ChangePercent[Change%11])</f>
        <v>-1.8381000000000002E-2</v>
      </c>
      <c r="R57" s="333" cm="1">
        <f t="array" aca="1" ref="R57" ca="1">_xlfn.XLOOKUP(ChaChaTicker,ListTickers,Tab1ChangePercent[Change%12])</f>
        <v>8.9569999999999997E-3</v>
      </c>
      <c r="S57" s="333" cm="1">
        <f t="array" aca="1" ref="S57" ca="1">_xlfn.XLOOKUP(ChaChaTicker,ListTickers,Tab1ChangePercent[Change%13])</f>
        <v>1.4360999999999999E-2</v>
      </c>
      <c r="T57" s="333" cm="1">
        <f t="array" aca="1" ref="T57" ca="1">_xlfn.XLOOKUP(ChaChaTicker,ListTickers,Tab1ChangePercent[Change%14])</f>
        <v>1.329E-2</v>
      </c>
      <c r="U57" s="333" cm="1">
        <f t="array" aca="1" ref="U57" ca="1">_xlfn.XLOOKUP(ChaChaTicker,ListTickers,Tab1ChangePercent[Change%15])</f>
        <v>-1.2655000000000001E-2</v>
      </c>
      <c r="V57" s="333" cm="1">
        <f t="array" aca="1" ref="V57" ca="1">_xlfn.XLOOKUP(ChaChaTicker,ListTickers,Tab1ChangePercent[Change%16])</f>
        <v>1.645E-3</v>
      </c>
      <c r="W57" s="333" cm="1">
        <f t="array" aca="1" ref="W57" ca="1">_xlfn.XLOOKUP(ChaChaTicker,ListTickers,Tab1ChangePercent[Change%17])</f>
        <v>2.3630000000000001E-3</v>
      </c>
      <c r="X57" s="333" cm="1">
        <f t="array" aca="1" ref="X57" ca="1">_xlfn.XLOOKUP(ChaChaTicker,ListTickers,Tab1ChangePercent[Change%18])</f>
        <v>5.9288999999999994E-2</v>
      </c>
      <c r="Y57" s="333" cm="1">
        <f t="array" aca="1" ref="Y57" ca="1">_xlfn.XLOOKUP(ChaChaTicker,ListTickers,Tab1ChangePercent[Change%19])</f>
        <v>7.3561000000000001E-2</v>
      </c>
      <c r="Z57" s="333" cm="1">
        <f t="array" aca="1" ref="Z57" ca="1">_xlfn.XLOOKUP(ChaChaTicker,ListTickers,Tab1ChangePercent[Change%20])</f>
        <v>7.3561000000000001E-2</v>
      </c>
    </row>
    <row r="58" spans="1:26" x14ac:dyDescent="0.3">
      <c r="A58" s="165" t="s">
        <v>548</v>
      </c>
      <c r="B58" s="520">
        <f t="shared" ref="B58" ca="1" si="9">MIN(F58:Z58)</f>
        <v>4.1444529686984494E-3</v>
      </c>
      <c r="C58" s="520">
        <f t="shared" ref="C58" ca="1" si="10">MAX(F58:Z58)</f>
        <v>3</v>
      </c>
      <c r="D58" s="521">
        <f ca="1">IFERROR(AVERAGEIF(F58:Y58, "&gt;0"), "")</f>
        <v>0.84060656425630387</v>
      </c>
      <c r="E58" s="165">
        <f ca="1">C58/C57</f>
        <v>40.782479846657878</v>
      </c>
      <c r="F58" s="99" cm="1">
        <f t="array" aca="1" ref="F58" ca="1">_xlfn.XLOOKUP(ChaChaTicker,ListTickers,Tab2Agiotage[XAgio0])</f>
        <v>0.49999370198102205</v>
      </c>
      <c r="G58" s="99" cm="1">
        <f t="array" aca="1" ref="G58" ca="1">_xlfn.XLOOKUP(ChaRSITicker,ListTickers,Tab2Free2[Price_R_1])</f>
        <v>3</v>
      </c>
      <c r="H58" s="99" cm="1">
        <f t="array" aca="1" ref="H58" ca="1">_xlfn.XLOOKUP(ChaRSITicker,ListTickers,Tab2Agiotage[XAgio2])</f>
        <v>0.21638315919577167</v>
      </c>
      <c r="I58" s="99" cm="1">
        <f t="array" aca="1" ref="I58" ca="1">_xlfn.XLOOKUP(ChaRSITicker,ListTickers,Tab2Agiotage[XAgio3])</f>
        <v>0.76111692611176185</v>
      </c>
      <c r="J58" s="99" cm="1">
        <f t="array" aca="1" ref="J58" ca="1">_xlfn.XLOOKUP(ChaRSITicker,ListTickers,Tab2Agiotage[XAgio4])</f>
        <v>0.76111692611176185</v>
      </c>
      <c r="K58" s="99" cm="1">
        <f t="array" aca="1" ref="K58" ca="1">_xlfn.XLOOKUP(ChaRSITicker,ListTickers,Tab2Agiotage[XAgio5])</f>
        <v>0.88403540596762187</v>
      </c>
      <c r="L58" s="99" cm="1">
        <f t="array" aca="1" ref="L58" ca="1">_xlfn.XLOOKUP(ChaRSITicker,ListTickers,Tab2Agiotage[XAgio6])</f>
        <v>1.0056229380432118</v>
      </c>
      <c r="M58" s="99" cm="1">
        <f t="array" aca="1" ref="M58" ca="1">_xlfn.XLOOKUP(ChaRSITicker,ListTickers,Tab2Agiotage[XAgio7])</f>
        <v>0.88053641169041941</v>
      </c>
      <c r="N58" s="99" cm="1">
        <f t="array" aca="1" ref="N58" ca="1">_xlfn.XLOOKUP(ChaRSITicker,ListTickers,Tab2Agiotage[XAgio8])</f>
        <v>0.75208057444416843</v>
      </c>
      <c r="O58" s="99" cm="1">
        <f t="array" aca="1" ref="O58" ca="1">_xlfn.XLOOKUP(ChaRSITicker,ListTickers,Tab2Agiotage[XAgio9])</f>
        <v>0.32547684271386296</v>
      </c>
      <c r="P58" s="99" cm="1">
        <f t="array" aca="1" ref="P58" ca="1">_xlfn.XLOOKUP(ChaRSITicker,ListTickers,Tab2Agiotage[XAgio10])</f>
        <v>0.9991306160313761</v>
      </c>
      <c r="Q58" s="99" cm="1">
        <f t="array" aca="1" ref="Q58" ca="1">_xlfn.XLOOKUP(ChaRSITicker,ListTickers,Tab2Agiotage[XAgio11])</f>
        <v>0.36897335033493123</v>
      </c>
      <c r="R58" s="99" cm="1">
        <f t="array" aca="1" ref="R58" ca="1">_xlfn.XLOOKUP(ChaRSITicker,ListTickers,Tab2Agiotage[XAgio12])</f>
        <v>0.24539054309634209</v>
      </c>
      <c r="S58" s="99" cm="1">
        <f t="array" aca="1" ref="S58" ca="1">_xlfn.XLOOKUP(ChaRSITicker,ListTickers,Tab2Agiotage[XAgio13])</f>
        <v>4.1444529686984494E-3</v>
      </c>
      <c r="T58" s="99" cm="1">
        <f t="array" aca="1" ref="T58" ca="1">_xlfn.XLOOKUP(ChaRSITicker,ListTickers,Tab2Agiotage[XAgio14])</f>
        <v>3.9287558171379536E-2</v>
      </c>
      <c r="U58" s="99" cm="1">
        <f t="array" aca="1" ref="U58" ca="1">_xlfn.XLOOKUP(ChaRSITicker,ListTickers,Tab2Agiotage[XAgio15])</f>
        <v>0.97617822324539094</v>
      </c>
      <c r="V58" s="99" cm="1">
        <f t="array" aca="1" ref="V58" ca="1">_xlfn.XLOOKUP(ChaRSITicker,ListTickers,Tab2Agiotage[XAgio16])</f>
        <v>0.7031178048124791</v>
      </c>
      <c r="W58" s="99" cm="1">
        <f t="array" aca="1" ref="W58" ca="1">_xlfn.XLOOKUP(ChaRSITicker,ListTickers,Tab2Agiotage[XAgio17])</f>
        <v>0.9554427290289188</v>
      </c>
      <c r="X58" s="99" cm="1">
        <f t="array" aca="1" ref="X58" ca="1">_xlfn.XLOOKUP(ChaRSITicker,ListTickers,Tab2Agiotage[XAgio18])</f>
        <v>1.26028979718001</v>
      </c>
      <c r="Y58" s="99" cm="1">
        <f t="array" aca="1" ref="Y58" ca="1">_xlfn.XLOOKUP(ChaRSITicker,ListTickers,Tab2Agiotage[XAgio19])</f>
        <v>2.1738133239969519</v>
      </c>
      <c r="Z58" s="99" cm="1">
        <f t="array" aca="1" ref="Z58" ca="1">_xlfn.XLOOKUP(ChaRSITicker,ListTickers,Tab2Agiotage[XAgio20])</f>
        <v>2.1738133239969519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33</v>
      </c>
      <c r="G59" cm="1">
        <f t="array" aca="1" ref="G59" ca="1">_xlfn.XLOOKUP(ChaRSITicker,ListTickers,Tab2RSIConventional[RSIConv1])</f>
        <v>29</v>
      </c>
      <c r="H59" cm="1">
        <f t="array" aca="1" ref="H59" ca="1">_xlfn.XLOOKUP(ChaRSITicker,ListTickers,Tab2RSIConventional[RSIConv2])</f>
        <v>29</v>
      </c>
      <c r="I59" cm="1">
        <f t="array" aca="1" ref="I59" ca="1">_xlfn.XLOOKUP(ChaRSITicker,ListTickers,Tab2RSIConventional[RSIConv3])</f>
        <v>40</v>
      </c>
      <c r="J59" cm="1">
        <f t="array" aca="1" ref="J59" ca="1">_xlfn.XLOOKUP(ChaRSITicker,ListTickers,Tab2RSIConventional[RSIConv4])</f>
        <v>27</v>
      </c>
      <c r="K59" cm="1">
        <f t="array" aca="1" ref="K59" ca="1">_xlfn.XLOOKUP(ChaRSITicker,ListTickers,Tab2RSIConventional[RSIConv5])</f>
        <v>13</v>
      </c>
      <c r="L59" cm="1">
        <f t="array" aca="1" ref="L59" ca="1">_xlfn.XLOOKUP(ChaRSITicker,ListTickers,Tab2RSIConventional[RSIConv6])</f>
        <v>23</v>
      </c>
      <c r="M59" cm="1">
        <f t="array" aca="1" ref="M59" ca="1">_xlfn.XLOOKUP(ChaRSITicker,ListTickers,Tab2RSIConventional[RSIConv7])</f>
        <v>33</v>
      </c>
      <c r="N59" cm="1">
        <f t="array" aca="1" ref="N59" ca="1">_xlfn.XLOOKUP(ChaRSITicker,ListTickers,Tab2RSIConventional[RSIConv8])</f>
        <v>35</v>
      </c>
      <c r="O59" cm="1">
        <f t="array" aca="1" ref="O59" ca="1">_xlfn.XLOOKUP(ChaRSITicker,ListTickers,Tab2RSIConventional[RSIConv9])</f>
        <v>36</v>
      </c>
      <c r="P59" cm="1">
        <f t="array" aca="1" ref="P59" ca="1">_xlfn.XLOOKUP(ChaRSITicker,ListTickers,Tab2RSIConventional[RSIConv10])</f>
        <v>25</v>
      </c>
      <c r="Q59" cm="1">
        <f t="array" aca="1" ref="Q59" ca="1">_xlfn.XLOOKUP(ChaRSITicker,ListTickers,Tab2RSIConventional[RSIConv11])</f>
        <v>23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37</v>
      </c>
      <c r="U59" cm="1">
        <f t="array" aca="1" ref="U59" ca="1">_xlfn.XLOOKUP(ChaRSITicker,ListTickers,Tab2RSIConventional[RSIConv15])</f>
        <v>36</v>
      </c>
      <c r="V59" cm="1">
        <f t="array" aca="1" ref="V59" ca="1">_xlfn.XLOOKUP(ChaRSITicker,ListTickers,Tab2RSIConventional[RSIConv16])</f>
        <v>34</v>
      </c>
      <c r="W59" cm="1">
        <f t="array" aca="1" ref="W59" ca="1">_xlfn.XLOOKUP(ChaRSITicker,ListTickers,Tab2RSIConventional[RSIConv17])</f>
        <v>38</v>
      </c>
      <c r="X59" cm="1">
        <f t="array" aca="1" ref="X59" ca="1">_xlfn.XLOOKUP(ChaRSITicker,ListTickers,Tab2RSIConventional[RSIConv18])</f>
        <v>57</v>
      </c>
      <c r="Y59" cm="1">
        <f t="array" aca="1" ref="Y59" ca="1">_xlfn.XLOOKUP(ChaRSITicker,ListTickers,Tab2RSIConventional[RSIConv19])</f>
        <v>71</v>
      </c>
      <c r="Z59" cm="1">
        <f t="array" aca="1" ref="Z59" ca="1">_xlfn.XLOOKUP(ChaRSITicker,ListTickers,Tab2RSIConventional[RSIConv20])</f>
        <v>71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40.782479846657878</v>
      </c>
      <c r="G60" s="240">
        <f t="shared" ca="1" si="11"/>
        <v>40.782479846657878</v>
      </c>
      <c r="H60" s="240">
        <f t="shared" ca="1" si="11"/>
        <v>40.782479846657878</v>
      </c>
      <c r="I60" s="240">
        <f t="shared" ca="1" si="11"/>
        <v>40.782479846657878</v>
      </c>
      <c r="J60" s="240">
        <f t="shared" ca="1" si="11"/>
        <v>40.782479846657878</v>
      </c>
      <c r="K60" s="240">
        <f t="shared" ca="1" si="11"/>
        <v>40.782479846657878</v>
      </c>
      <c r="L60" s="240">
        <f t="shared" ca="1" si="11"/>
        <v>40.782479846657878</v>
      </c>
      <c r="M60" s="240">
        <f t="shared" ca="1" si="11"/>
        <v>40.782479846657878</v>
      </c>
      <c r="N60" s="240">
        <f t="shared" ca="1" si="11"/>
        <v>40.782479846657878</v>
      </c>
      <c r="O60" s="240">
        <f t="shared" ca="1" si="11"/>
        <v>40.782479846657878</v>
      </c>
      <c r="P60" s="240">
        <f t="shared" ca="1" si="11"/>
        <v>40.782479846657878</v>
      </c>
      <c r="Q60" s="240">
        <f t="shared" ca="1" si="11"/>
        <v>40.782479846657878</v>
      </c>
      <c r="R60" s="240">
        <f t="shared" ca="1" si="11"/>
        <v>40.782479846657878</v>
      </c>
      <c r="S60" s="240">
        <f t="shared" ca="1" si="11"/>
        <v>40.782479846657878</v>
      </c>
      <c r="T60" s="240">
        <f t="shared" ca="1" si="11"/>
        <v>40.782479846657878</v>
      </c>
      <c r="U60" s="240">
        <f t="shared" ca="1" si="11"/>
        <v>40.782479846657878</v>
      </c>
      <c r="V60" s="240">
        <f t="shared" ca="1" si="11"/>
        <v>40.782479846657878</v>
      </c>
      <c r="W60" s="240">
        <f t="shared" ca="1" si="11"/>
        <v>40.782479846657878</v>
      </c>
      <c r="X60" s="240">
        <f t="shared" ca="1" si="11"/>
        <v>40.782479846657878</v>
      </c>
      <c r="Y60" s="240">
        <f t="shared" ca="1" si="11"/>
        <v>40.782479846657878</v>
      </c>
      <c r="Z60" s="240">
        <f t="shared" ca="1" si="11"/>
        <v>40.782479846657878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45912</v>
      </c>
    </row>
    <row r="3" spans="1:16" x14ac:dyDescent="0.3">
      <c r="A3" s="63">
        <f ca="1">TODAY()</f>
        <v>45912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45911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45910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45909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45908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45907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45906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45905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45904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45903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45902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45901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45900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45899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45898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45897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45896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45895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45894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45893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45892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45891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45890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45889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45888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45887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45886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45885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45884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45883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45882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45881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45880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45879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45878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45877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45876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45875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45874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45873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45872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45871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45870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45869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45868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45867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45866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45865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45864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45863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45862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45861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45860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45859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45858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45857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45856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45855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45854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45912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45912</v>
      </c>
      <c r="B11" s="474" t="s">
        <v>130</v>
      </c>
      <c r="C11" s="474" t="s">
        <v>131</v>
      </c>
      <c r="D11" s="1128" t="s">
        <v>132</v>
      </c>
      <c r="E11" s="58" t="s">
        <v>16</v>
      </c>
      <c r="F11" s="59">
        <v>5000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10xM@15.525, A@ 11.06, Y@ 16.88824, L_Bp@ -11.06x6000, L_Sp@ 12.56x2990, Cl@ 15.295, Low@ 15.33, High@ 15.6, Agio=127%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60">
        <f t="shared" ca="1" si="0"/>
        <v>45912</v>
      </c>
      <c r="B12" s="474"/>
      <c r="C12" s="474"/>
      <c r="D12" s="1128"/>
      <c r="E12" s="58"/>
      <c r="F12" s="59"/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7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60">
        <f t="shared" ca="1" si="0"/>
        <v>45912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45912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45912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SELL today EOAN 5,000 shares at market for account MVE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Laurent,</v>
      </c>
      <c r="F26" s="444"/>
      <c r="G26" s="446"/>
      <c r="H26" s="463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4" t="str">
        <f>IFERROR(RIGHT(E29,LEN(E29)-6),"")</f>
        <v xml:space="preserve"> SELL today EOAN 5,000 shares at market for account MVE</v>
      </c>
      <c r="G29" s="446"/>
      <c r="H29" s="463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4" t="str">
        <f t="shared" ref="F30:F33" si="3">IFERROR(RIGHT(E30,LEN(E30)-6),"")</f>
        <v/>
      </c>
      <c r="G30" s="446"/>
      <c r="H30" s="463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45912.955789467589</v>
      </c>
      <c r="D4" s="6"/>
      <c r="F4" s="4"/>
    </row>
    <row r="5" spans="1:8" x14ac:dyDescent="0.3">
      <c r="A5" t="s">
        <v>93</v>
      </c>
      <c r="B5" s="7">
        <f ca="1">TODAY()</f>
        <v>45912</v>
      </c>
      <c r="F5" s="8" t="s">
        <v>94</v>
      </c>
      <c r="G5" s="8" t="str">
        <f ca="1">IF((NOW()-TODAY()-TIME(9,0,0))-ACETZoneShift&lt;0,"Yesterday",NOW()-TODAY()-TIME(9,0,0)-ACETZoneShift)&amp;" CET"</f>
        <v>0.53912280092239 CET</v>
      </c>
    </row>
    <row r="6" spans="1:8" ht="23" thickBot="1" x14ac:dyDescent="0.35">
      <c r="A6" t="s">
        <v>656</v>
      </c>
      <c r="B6" s="9">
        <f ca="1">NOW()-TODAY()</f>
        <v>0.95578946758905658</v>
      </c>
      <c r="C6" t="s">
        <v>95</v>
      </c>
      <c r="E6" t="s">
        <v>96</v>
      </c>
      <c r="F6" s="10">
        <f ca="1">NOW()</f>
        <v>45912.955789467589</v>
      </c>
      <c r="G6" s="10">
        <f ca="1">NOW()-TODAY()-ACETZoneShift+1</f>
        <v>1.9141228009223901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0.91412280092238996</v>
      </c>
      <c r="C7" t="s">
        <v>98</v>
      </c>
      <c r="D7" s="11">
        <f ca="1">[1]ExtEntry!$E$20</f>
        <v>45912.770833333336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0.87245613425572333</v>
      </c>
      <c r="C8" t="s">
        <v>100</v>
      </c>
      <c r="D8" s="11">
        <f ca="1">NOW()-ALastTimeEoan-ACETZoneShift</f>
        <v>0.143289583332565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45912.375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0.58078946758905658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0.91412280092238996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45912.375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0.58078946758905658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3.9122800924815238E-2</v>
      </c>
      <c r="F20" s="8" t="s">
        <v>111</v>
      </c>
      <c r="H20" s="27">
        <f ca="1">ABS(NOW()-F22)</f>
        <v>45912.309956134253</v>
      </c>
    </row>
    <row r="21" spans="1:8" ht="23" thickBot="1" x14ac:dyDescent="0.35">
      <c r="C21" s="28" t="s">
        <v>112</v>
      </c>
      <c r="D21" s="29" t="str">
        <f ca="1">TEXT(D20,"HH:MM")</f>
        <v>00:56</v>
      </c>
      <c r="E21" s="30" t="s">
        <v>113</v>
      </c>
      <c r="F21" s="31">
        <f ca="1">IF(ActTime-CETZoneShift&lt;0,ActTime-TIME(6,0,0)-CETZoneShift+1,ActTime-TIME(6,0,0)-CETZoneShift)</f>
        <v>0.66412280092238996</v>
      </c>
      <c r="G21" s="30" t="s">
        <v>114</v>
      </c>
      <c r="H21" s="24" t="str">
        <f ca="1">TEXT(H20,"HH:MM")</f>
        <v>07:26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45912.916666666664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0.95578946758905658</v>
      </c>
      <c r="F23" s="33">
        <f ca="1">ActTime</f>
        <v>0.95578946758905658</v>
      </c>
      <c r="G23" s="33">
        <f ca="1">ActTime</f>
        <v>0.95578946758905658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91826.083333333328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45913.166666666664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2025-09-12T20:56:20Z</dcterms:modified>
  <cp:category/>
</cp:coreProperties>
</file>